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1dXKx6Tlyge3sQDX3LEfbZH9s+NDMnefmVH0LqHSkl/pbJ1yN/14FX0cMFU8lFNRBnnoC+OUmCNrrqvsCgD+lA==" workbookSaltValue="nvSk+PpE6gE5yzTGM9DP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ER19" i="8"/>
  <c r="EQ19" i="8"/>
  <c r="BA13" i="16"/>
  <c r="AC17" i="11"/>
  <c r="W19" i="13"/>
  <c r="Z19" i="8"/>
  <c r="AL13" i="16"/>
  <c r="S13" i="16"/>
  <c r="P13" i="16"/>
  <c r="AN13" i="20"/>
  <c r="Z13" i="17"/>
  <c r="AN17" i="11"/>
  <c r="M18" i="2"/>
  <c r="D17" i="6"/>
  <c r="H13" i="12"/>
  <c r="T19" i="8"/>
  <c r="T13" i="12"/>
  <c r="BD9" i="8"/>
  <c r="BF9" i="8"/>
  <c r="BA13" i="8"/>
  <c r="I19" i="8"/>
  <c r="E13" i="17"/>
  <c r="T13" i="20"/>
  <c r="T13" i="16"/>
  <c r="AP13" i="16"/>
  <c r="T18" i="17"/>
  <c r="J20" i="20"/>
  <c r="S20" i="20"/>
  <c r="K20" i="20"/>
  <c r="Z20" i="20"/>
  <c r="AM20" i="20"/>
  <c r="AK20" i="20"/>
  <c r="W20" i="21"/>
  <c r="F20" i="20"/>
  <c r="AF20" i="20"/>
  <c r="M20" i="20"/>
  <c r="AG20" i="20"/>
  <c r="D18" i="12" l="1"/>
  <c r="G17" i="3"/>
  <c r="G18" i="12"/>
  <c r="AH13" i="16"/>
  <c r="D13" i="7"/>
  <c r="BF12" i="8"/>
  <c r="AC12" i="11"/>
  <c r="BG12" i="8"/>
  <c r="C19" i="3"/>
  <c r="I10" i="3"/>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AO20" i="20"/>
  <c r="T20" i="20"/>
  <c r="AZ20" i="20"/>
  <c r="T20" i="21"/>
  <c r="AJ20" i="20"/>
  <c r="Q20" i="20"/>
  <c r="AQ20" i="21"/>
  <c r="AU20" i="20"/>
  <c r="AD20" i="20"/>
  <c r="G18" i="14"/>
  <c r="AL20" i="20"/>
  <c r="AI20" i="20"/>
  <c r="U16" i="11"/>
  <c r="AV20" i="20"/>
  <c r="Y20" i="20"/>
  <c r="O10" i="11"/>
  <c r="U12" i="11"/>
  <c r="U10" i="11"/>
  <c r="AA20" i="20"/>
  <c r="E20" i="20"/>
  <c r="I20" i="20"/>
  <c r="L20" i="20"/>
  <c r="AQ20" i="20"/>
  <c r="W20" i="20"/>
  <c r="I12" i="12" l="1"/>
  <c r="AM15" i="11"/>
  <c r="L11" i="2"/>
  <c r="U10" i="21"/>
  <c r="AA16" i="16"/>
  <c r="R12" i="14"/>
  <c r="L12" i="2"/>
  <c r="X17" i="17"/>
  <c r="J15" i="12"/>
  <c r="AM16" i="11"/>
  <c r="AQ13" i="21"/>
  <c r="V15" i="20"/>
  <c r="V18" i="20" s="1"/>
  <c r="AZ12" i="11"/>
  <c r="AA12" i="21"/>
  <c r="T17" i="20"/>
  <c r="X12" i="17"/>
  <c r="T15" i="11"/>
  <c r="AM9" i="11"/>
  <c r="S17" i="14"/>
  <c r="V17" i="14" s="1"/>
  <c r="X10" i="21"/>
  <c r="AZ17" i="11"/>
  <c r="V15" i="16"/>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S18" i="14"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Y20" i="11"/>
  <c r="R20" i="17"/>
  <c r="S20" i="17"/>
  <c r="AG20" i="17"/>
  <c r="F20" i="11"/>
  <c r="AJ20" i="16"/>
  <c r="AE20" i="16"/>
  <c r="M20" i="16"/>
  <c r="AR20" i="20"/>
  <c r="U20" i="20"/>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J20" i="21"/>
  <c r="AW20" i="17"/>
  <c r="K20" i="12"/>
  <c r="AB20" i="17"/>
  <c r="W20" i="16"/>
  <c r="AO20" i="11"/>
  <c r="AZ20" i="11"/>
  <c r="V20" i="11"/>
  <c r="AO20" i="17"/>
  <c r="AU20" i="11"/>
  <c r="V20" i="20"/>
  <c r="BO20" i="16"/>
  <c r="AV20" i="17"/>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<sst xmlns="http://schemas.openxmlformats.org/spreadsheetml/2006/main" count="2094" uniqueCount="914">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</sst>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q3SIqVOqYMbZGxlO6DcP63jU3LNzsUBQ3cc8KUujl7fh/x87TXE3HaKyT5UW3s6wh7t06o2hxyoEHnSdP3y1A==" saltValue="x3NOSpLQB5PzhXBajBoz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5</v>
      </c>
      <c r="F10" s="229">
        <f>IF(ISNUMBER(Datos!K10),Datos!K10," - ")</f>
        <v>2</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7.6999999999999993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5</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200</v>
      </c>
      <c r="D16" s="228">
        <f>IF(ISNUMBER(IF(D_I="SI",Datos!I16,Datos!I16+Datos!AC16)),IF(D_I="SI",Datos!I16,Datos!I16+Datos!AC16)," - ")</f>
        <v>171</v>
      </c>
      <c r="E16" s="229">
        <f>IF(ISNUMBER(IF(D_I="SI",Datos!J16,Datos!J16+Datos!AD16)),IF(D_I="SI",Datos!J16,Datos!J16+Datos!AD16)," - ")</f>
        <v>1549</v>
      </c>
      <c r="F16" s="229">
        <f>IF(ISNUMBER(IF(D_I="SI",Datos!K16,Datos!K16+Datos!AE16)),IF(D_I="SI",Datos!K16,Datos!K16+Datos!AE16)," - ")</f>
        <v>1394</v>
      </c>
      <c r="G16" s="1037" t="str">
        <f>IF(Datos!E16&lt;&gt;"",Datos!E16,Datos!D16)</f>
        <v>04</v>
      </c>
      <c r="H16" s="230">
        <f>IF(ISNUMBER(IF(D_I="SI",Datos!L16,Datos!L16+Datos!AF16)),IF(D_I="SI",Datos!L16,Datos!L16+Datos!AF16)," - ")</f>
        <v>355</v>
      </c>
      <c r="I16" s="1047" t="str">
        <f>IF(ISNUMBER(Datos!AS16/Datos!BM16),Datos!AS16/Datos!BM16," - ")</f>
        <v xml:space="preserve"> - </v>
      </c>
      <c r="J16" s="1048">
        <f>IF(ISNUMBER(Datos!BY16/Datos!CN16),Datos!BY16/Datos!CN16," - ")</f>
        <v>0</v>
      </c>
      <c r="K16" s="233">
        <f t="shared" si="3"/>
        <v>0.77500000000000002</v>
      </c>
      <c r="L16" s="1028">
        <f>IF(ISNUMBER(NºAsuntos!I16/NºAsuntos!G16),(NºAsuntos!I16/NºAsuntos!G16)*11," - ")</f>
        <v>2.8012912482065992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6</v>
      </c>
      <c r="E17" s="229">
        <f>IF(ISNUMBER(IF(D_I="SI",Datos!J17,Datos!J17+Datos!AD17)),IF(D_I="SI",Datos!J17,Datos!J17+Datos!AD17)," - ")</f>
        <v>132</v>
      </c>
      <c r="F17" s="229">
        <f>IF(ISNUMBER(IF(D_I="SI",Datos!K17,Datos!K17+Datos!AE17)),IF(D_I="SI",Datos!K17,Datos!K17+Datos!AE17)," - ")</f>
        <v>123</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1.5</v>
      </c>
      <c r="L17" s="1028">
        <f>IF(ISNUMBER(NºAsuntos!I17/NºAsuntos!G17),(NºAsuntos!I17/NºAsuntos!G17)*11," - ")</f>
        <v>1.3414634146341462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206</v>
      </c>
      <c r="D18" s="1052">
        <f>SUBTOTAL(9,D15:D17)</f>
        <v>177</v>
      </c>
      <c r="E18" s="1053">
        <f>SUBTOTAL(9,E15:E17)</f>
        <v>1681</v>
      </c>
      <c r="F18" s="1053">
        <f>SUBTOTAL(9,F15:F17)</f>
        <v>1517</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206</v>
      </c>
      <c r="D19" s="1074">
        <f>SUBTOTAL(9,D9:D18)</f>
        <v>177</v>
      </c>
      <c r="E19" s="1075">
        <f>SUBTOTAL(9,E9:E18)</f>
        <v>1686</v>
      </c>
      <c r="F19" s="1075">
        <f>SUBTOTAL(9,F9:F18)</f>
        <v>1519</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JDSbl2JRYjGzlO7IYBo+KeIWKAiCljWrOqYc+TrSP4BYaFIZXTciQF6v7jcvv4nfmgmkogDWOKs8z1jyza+Xg==" saltValue="l4z5egxg3qDEBetiXYpQ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866O492QtoD2udIcUyagUxd/yN2t0bmwe1GI7L2mYLZ6iPNmsh1ywRy0s50lR2jVo8erQ2+9GdNuG11etqeduQ==" saltValue="U3h09ivYn2q6mXBHrl1M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5</v>
      </c>
      <c r="K10" s="184">
        <v>2</v>
      </c>
      <c r="L10" s="184">
        <v>3</v>
      </c>
      <c r="M10" s="184">
        <v>2</v>
      </c>
      <c r="N10" s="184">
        <v>0</v>
      </c>
      <c r="O10" s="184">
        <v>0</v>
      </c>
      <c r="P10" s="184">
        <v>0</v>
      </c>
      <c r="Q10" s="184">
        <v>0</v>
      </c>
      <c r="R10" s="184">
        <v>1</v>
      </c>
      <c r="S10" s="184">
        <v>4</v>
      </c>
      <c r="T10" s="184">
        <v>3</v>
      </c>
      <c r="U10" s="184">
        <v>7</v>
      </c>
      <c r="V10" s="184">
        <v>0</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3</v>
      </c>
      <c r="BA10" s="129">
        <f t="shared" si="0"/>
        <v>7</v>
      </c>
      <c r="BB10" s="129">
        <f t="shared" si="0"/>
        <v>0</v>
      </c>
      <c r="BC10" s="125">
        <f t="shared" si="0"/>
        <v>3</v>
      </c>
      <c r="BD10" s="126">
        <f>IF(ISNUMBER(BA10/AZ10),BA10/AZ10," - ")</f>
        <v>2.3333333333333335</v>
      </c>
      <c r="BE10" s="127">
        <f>IF(ISNUMBER(BB10/BA10),BB10/BA10, " - ")</f>
        <v>0</v>
      </c>
      <c r="BF10" s="127">
        <f>IF(ISNUMBER(BC10/BA10),BC10/BA10, " - ")</f>
        <v>0.42857142857142855</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308</v>
      </c>
      <c r="J12" s="186">
        <v>582</v>
      </c>
      <c r="K12" s="186">
        <v>507</v>
      </c>
      <c r="L12" s="186">
        <v>383</v>
      </c>
      <c r="M12" s="186">
        <v>145</v>
      </c>
      <c r="N12" s="186">
        <v>225</v>
      </c>
      <c r="O12" s="184">
        <v>275</v>
      </c>
      <c r="P12" s="186">
        <v>169</v>
      </c>
      <c r="Q12" s="186">
        <v>67</v>
      </c>
      <c r="R12" s="186">
        <v>639</v>
      </c>
      <c r="S12" s="186">
        <v>239</v>
      </c>
      <c r="T12" s="186">
        <v>596</v>
      </c>
      <c r="U12" s="186">
        <v>528</v>
      </c>
      <c r="V12" s="186">
        <v>308</v>
      </c>
      <c r="W12" s="186">
        <v>155</v>
      </c>
      <c r="X12" s="192">
        <v>235</v>
      </c>
      <c r="Y12" s="194">
        <v>10</v>
      </c>
      <c r="Z12" s="184">
        <v>69</v>
      </c>
      <c r="AA12" s="184">
        <v>63</v>
      </c>
      <c r="AB12" s="184">
        <v>16</v>
      </c>
      <c r="AC12" s="186">
        <v>0</v>
      </c>
      <c r="AD12" s="186">
        <v>0</v>
      </c>
      <c r="AE12" s="186">
        <v>0</v>
      </c>
      <c r="AF12" s="192">
        <v>0</v>
      </c>
      <c r="AG12" s="205">
        <v>20</v>
      </c>
      <c r="AH12" s="186">
        <v>80</v>
      </c>
      <c r="AI12" s="186">
        <v>90</v>
      </c>
      <c r="AJ12" s="206">
        <v>10</v>
      </c>
      <c r="AK12" s="185">
        <v>0</v>
      </c>
      <c r="AL12" s="186">
        <v>0</v>
      </c>
      <c r="AM12" s="186">
        <v>0</v>
      </c>
      <c r="AN12" s="192">
        <v>0</v>
      </c>
      <c r="AO12" s="262">
        <v>2</v>
      </c>
      <c r="AP12" s="158">
        <v>2</v>
      </c>
      <c r="AQ12" s="158">
        <v>2</v>
      </c>
      <c r="AR12" s="157">
        <v>2</v>
      </c>
      <c r="AS12" s="343" t="s">
        <v>803</v>
      </c>
      <c r="AT12" s="206"/>
      <c r="AU12" s="205"/>
      <c r="AV12" s="206"/>
      <c r="AW12" s="205"/>
      <c r="AX12" s="206"/>
      <c r="AY12" s="126">
        <f t="shared" si="1"/>
        <v>259</v>
      </c>
      <c r="AZ12" s="127">
        <f t="shared" si="1"/>
        <v>676</v>
      </c>
      <c r="BA12" s="127">
        <f t="shared" si="1"/>
        <v>618</v>
      </c>
      <c r="BB12" s="127">
        <f t="shared" si="1"/>
        <v>318</v>
      </c>
      <c r="BC12" s="125">
        <f>IF(ISNUMBER(X12),X12," - ")</f>
        <v>235</v>
      </c>
      <c r="BD12" s="126">
        <f t="shared" si="2"/>
        <v>0.91420118343195267</v>
      </c>
      <c r="BE12" s="127">
        <f t="shared" si="3"/>
        <v>0.5145631067961165</v>
      </c>
      <c r="BF12" s="127">
        <f t="shared" si="4"/>
        <v>0.38025889967637538</v>
      </c>
      <c r="BG12" s="199">
        <f t="shared" si="5"/>
        <v>1.5129449838187703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308</v>
      </c>
      <c r="J13" s="187">
        <f t="shared" si="6"/>
        <v>587</v>
      </c>
      <c r="K13" s="187">
        <f t="shared" si="6"/>
        <v>509</v>
      </c>
      <c r="L13" s="187">
        <f t="shared" si="6"/>
        <v>386</v>
      </c>
      <c r="M13" s="187">
        <f t="shared" si="6"/>
        <v>147</v>
      </c>
      <c r="N13" s="187">
        <f t="shared" si="6"/>
        <v>225</v>
      </c>
      <c r="O13" s="187">
        <f t="shared" si="6"/>
        <v>275</v>
      </c>
      <c r="P13" s="187">
        <f t="shared" si="6"/>
        <v>169</v>
      </c>
      <c r="Q13" s="187">
        <f t="shared" si="6"/>
        <v>67</v>
      </c>
      <c r="R13" s="187">
        <f t="shared" si="6"/>
        <v>640</v>
      </c>
      <c r="S13" s="187">
        <f t="shared" si="6"/>
        <v>243</v>
      </c>
      <c r="T13" s="187">
        <f t="shared" si="6"/>
        <v>599</v>
      </c>
      <c r="U13" s="187">
        <f t="shared" si="6"/>
        <v>535</v>
      </c>
      <c r="V13" s="187">
        <f t="shared" si="6"/>
        <v>308</v>
      </c>
      <c r="W13" s="187">
        <f t="shared" si="6"/>
        <v>158</v>
      </c>
      <c r="X13" s="187">
        <f t="shared" si="6"/>
        <v>235</v>
      </c>
      <c r="Y13" s="187">
        <f t="shared" si="6"/>
        <v>10</v>
      </c>
      <c r="Z13" s="187">
        <f t="shared" si="6"/>
        <v>69</v>
      </c>
      <c r="AA13" s="187">
        <f t="shared" si="6"/>
        <v>63</v>
      </c>
      <c r="AB13" s="187">
        <f t="shared" si="6"/>
        <v>16</v>
      </c>
      <c r="AC13" s="187">
        <f t="shared" si="6"/>
        <v>0</v>
      </c>
      <c r="AD13" s="187">
        <f t="shared" si="6"/>
        <v>0</v>
      </c>
      <c r="AE13" s="187">
        <f t="shared" si="6"/>
        <v>0</v>
      </c>
      <c r="AF13" s="187">
        <f>SUBTOTAL(9,AF9:AF12)</f>
        <v>0</v>
      </c>
      <c r="AG13" s="187">
        <f t="shared" ref="AG13:AT13" si="7">SUBTOTAL(9,AG8:AG12)</f>
        <v>20</v>
      </c>
      <c r="AH13" s="187">
        <f t="shared" si="7"/>
        <v>80</v>
      </c>
      <c r="AI13" s="187">
        <f t="shared" si="7"/>
        <v>90</v>
      </c>
      <c r="AJ13" s="187">
        <f t="shared" si="7"/>
        <v>10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263</v>
      </c>
      <c r="AZ13" s="187">
        <f>SUBTOTAL(9,AZ8:AZ12)</f>
        <v>679</v>
      </c>
      <c r="BA13" s="187">
        <f>SUBTOTAL(9,BA8:BA12)</f>
        <v>625</v>
      </c>
      <c r="BB13" s="187">
        <f>SUBTOTAL(9,BB8:BB12)</f>
        <v>318</v>
      </c>
      <c r="BC13" s="187">
        <f>SUBTOTAL(9,BC8:BC12)</f>
        <v>238</v>
      </c>
      <c r="BD13" s="208">
        <f>IF(ISNUMBER(BA13/AZ13),BA13/AZ13," - ")</f>
        <v>0.92047128129602351</v>
      </c>
      <c r="BE13" s="209">
        <f>IF(ISNUMBER(BB13/BA13),BB13/BA13, " - ")</f>
        <v>0.50880000000000003</v>
      </c>
      <c r="BF13" s="209">
        <f>IF(ISNUMBER(BC13/BA13),BC13/BA13, " - ")</f>
        <v>0.38080000000000003</v>
      </c>
      <c r="BG13" s="210">
        <f>IF(ISNUMBER((AY13+AZ13)/BA13),(AY13+AZ13)/BA13," - ")</f>
        <v>1.5072000000000001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171</v>
      </c>
      <c r="J16" s="186">
        <v>1549</v>
      </c>
      <c r="K16" s="186">
        <v>1394</v>
      </c>
      <c r="L16" s="186">
        <v>355</v>
      </c>
      <c r="M16" s="186">
        <v>132</v>
      </c>
      <c r="N16" s="186">
        <v>1003</v>
      </c>
      <c r="O16" s="184">
        <v>0</v>
      </c>
      <c r="P16" s="186">
        <v>25</v>
      </c>
      <c r="Q16" s="186">
        <v>37</v>
      </c>
      <c r="R16" s="186">
        <v>33</v>
      </c>
      <c r="S16" s="186">
        <v>195</v>
      </c>
      <c r="T16" s="186">
        <v>1717</v>
      </c>
      <c r="U16" s="186">
        <v>1757</v>
      </c>
      <c r="V16" s="186">
        <v>171</v>
      </c>
      <c r="W16" s="186">
        <v>153</v>
      </c>
      <c r="X16" s="192">
        <v>1206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195</v>
      </c>
      <c r="AZ16" s="127">
        <f t="shared" si="9"/>
        <v>1717</v>
      </c>
      <c r="BA16" s="127">
        <f t="shared" si="9"/>
        <v>1757</v>
      </c>
      <c r="BB16" s="127">
        <f t="shared" si="9"/>
        <v>171</v>
      </c>
      <c r="BC16" s="125">
        <f>IF(ISNUMBER(W16),W16," - ")</f>
        <v>153</v>
      </c>
      <c r="BD16" s="126">
        <f t="shared" ref="BD16" si="11">IF(ISNUMBER(BA16/AZ16),BA16/AZ16," - ")</f>
        <v>1.023296447291788</v>
      </c>
      <c r="BE16" s="127">
        <f t="shared" ref="BE16" si="12">IF(ISNUMBER(BB16/BA16),BB16/BA16, " - ")</f>
        <v>9.7324985771200911E-2</v>
      </c>
      <c r="BF16" s="127">
        <f t="shared" ref="BF16" si="13">IF(ISNUMBER(BC16/BA16),BC16/BA16, " - ")</f>
        <v>8.7080250426863973E-2</v>
      </c>
      <c r="BG16" s="199">
        <f t="shared" si="10"/>
        <v>1.0882185543540126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v>
      </c>
      <c r="J17" s="186">
        <v>132</v>
      </c>
      <c r="K17" s="186">
        <v>123</v>
      </c>
      <c r="L17" s="186">
        <v>15</v>
      </c>
      <c r="M17" s="186">
        <v>22</v>
      </c>
      <c r="N17" s="186">
        <v>55</v>
      </c>
      <c r="O17" s="186">
        <v>0</v>
      </c>
      <c r="P17" s="186">
        <v>2</v>
      </c>
      <c r="Q17" s="186">
        <v>2</v>
      </c>
      <c r="R17" s="186">
        <v>1</v>
      </c>
      <c r="S17" s="186">
        <v>13</v>
      </c>
      <c r="T17" s="186">
        <v>80</v>
      </c>
      <c r="U17" s="186">
        <v>87</v>
      </c>
      <c r="V17" s="186">
        <v>6</v>
      </c>
      <c r="W17" s="186">
        <v>11</v>
      </c>
      <c r="X17" s="192">
        <v>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80</v>
      </c>
      <c r="BA17" s="129">
        <f t="shared" si="14"/>
        <v>87</v>
      </c>
      <c r="BB17" s="129">
        <f t="shared" si="14"/>
        <v>6</v>
      </c>
      <c r="BC17" s="125">
        <f>IF(ISNUMBER(W17),W17," - ")</f>
        <v>11</v>
      </c>
      <c r="BD17" s="126">
        <f>IF(ISNUMBER(BA17/AZ17),BA17/AZ17," - ")</f>
        <v>1.0874999999999999</v>
      </c>
      <c r="BE17" s="127">
        <f>IF(ISNUMBER(BB17/BA17),BB17/BA17, " - ")</f>
        <v>6.8965517241379309E-2</v>
      </c>
      <c r="BF17" s="127">
        <f>IF(ISNUMBER(BC17/BA17),BC17/BA17, " - ")</f>
        <v>0.12643678160919541</v>
      </c>
      <c r="BG17" s="199">
        <f>IF(ISNUMBER((AY17+AZ17)/BA17),(AY17+AZ17)/BA17," - ")</f>
        <v>1.0689655172413792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177</v>
      </c>
      <c r="J18" s="187">
        <f t="shared" si="15"/>
        <v>1681</v>
      </c>
      <c r="K18" s="187">
        <f t="shared" si="15"/>
        <v>1517</v>
      </c>
      <c r="L18" s="187">
        <f t="shared" si="15"/>
        <v>370</v>
      </c>
      <c r="M18" s="187">
        <f t="shared" si="15"/>
        <v>154</v>
      </c>
      <c r="N18" s="187">
        <f t="shared" si="15"/>
        <v>1058</v>
      </c>
      <c r="O18" s="187">
        <f t="shared" si="15"/>
        <v>0</v>
      </c>
      <c r="P18" s="187">
        <f t="shared" si="15"/>
        <v>27</v>
      </c>
      <c r="Q18" s="187">
        <f t="shared" si="15"/>
        <v>39</v>
      </c>
      <c r="R18" s="187">
        <f t="shared" si="15"/>
        <v>34</v>
      </c>
      <c r="S18" s="187">
        <f t="shared" si="15"/>
        <v>208</v>
      </c>
      <c r="T18" s="187">
        <f t="shared" si="15"/>
        <v>1797</v>
      </c>
      <c r="U18" s="187">
        <f t="shared" si="15"/>
        <v>1844</v>
      </c>
      <c r="V18" s="187">
        <f t="shared" si="15"/>
        <v>177</v>
      </c>
      <c r="W18" s="187">
        <f t="shared" si="15"/>
        <v>164</v>
      </c>
      <c r="X18" s="187">
        <f t="shared" si="15"/>
        <v>1250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208</v>
      </c>
      <c r="AZ18" s="187">
        <f>SUBTOTAL(9,AZ14:AZ17)</f>
        <v>1797</v>
      </c>
      <c r="BA18" s="187">
        <f>SUBTOTAL(9,BA14:BA17)</f>
        <v>1844</v>
      </c>
      <c r="BB18" s="187">
        <f>SUBTOTAL(9,BB14:BB17)</f>
        <v>177</v>
      </c>
      <c r="BC18" s="187">
        <f>SUBTOTAL(9,BC14:BC17)</f>
        <v>164</v>
      </c>
      <c r="BD18" s="208">
        <f>IF(ISNUMBER(BA18/AZ18),BA18/AZ18," - ")</f>
        <v>1.0261547022815805</v>
      </c>
      <c r="BE18" s="209">
        <f>IF(ISNUMBER(BB18/BA18),BB18/BA18, " - ")</f>
        <v>9.5986984815618223E-2</v>
      </c>
      <c r="BF18" s="209">
        <f>IF(ISNUMBER(BC18/BA18),BC18/BA18, " - ")</f>
        <v>8.8937093275488072E-2</v>
      </c>
      <c r="BG18" s="210">
        <f>IF(ISNUMBER((AY18+AZ18)/BA18),(AY18+AZ18)/BA18," - ")</f>
        <v>1.0873101952277657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485</v>
      </c>
      <c r="J19" s="134">
        <f t="shared" si="18"/>
        <v>2268</v>
      </c>
      <c r="K19" s="134">
        <f t="shared" si="18"/>
        <v>2026</v>
      </c>
      <c r="L19" s="134">
        <f t="shared" si="18"/>
        <v>756</v>
      </c>
      <c r="M19" s="134">
        <f t="shared" si="18"/>
        <v>301</v>
      </c>
      <c r="N19" s="134">
        <f t="shared" si="18"/>
        <v>1283</v>
      </c>
      <c r="O19" s="134">
        <f t="shared" si="18"/>
        <v>275</v>
      </c>
      <c r="P19" s="134">
        <f t="shared" si="18"/>
        <v>196</v>
      </c>
      <c r="Q19" s="134">
        <f t="shared" si="18"/>
        <v>106</v>
      </c>
      <c r="R19" s="134">
        <f t="shared" si="18"/>
        <v>674</v>
      </c>
      <c r="S19" s="134">
        <f t="shared" si="18"/>
        <v>451</v>
      </c>
      <c r="T19" s="134">
        <f t="shared" si="18"/>
        <v>2396</v>
      </c>
      <c r="U19" s="134">
        <f t="shared" si="18"/>
        <v>2379</v>
      </c>
      <c r="V19" s="134">
        <f t="shared" si="18"/>
        <v>485</v>
      </c>
      <c r="W19" s="134">
        <f t="shared" si="18"/>
        <v>322</v>
      </c>
      <c r="X19" s="134">
        <f t="shared" si="18"/>
        <v>1485</v>
      </c>
      <c r="Y19" s="134">
        <f t="shared" si="18"/>
        <v>10</v>
      </c>
      <c r="Z19" s="134">
        <f t="shared" si="18"/>
        <v>69</v>
      </c>
      <c r="AA19" s="134">
        <f t="shared" si="18"/>
        <v>63</v>
      </c>
      <c r="AB19" s="134">
        <f t="shared" si="18"/>
        <v>16</v>
      </c>
      <c r="AC19" s="134">
        <f t="shared" si="18"/>
        <v>0</v>
      </c>
      <c r="AD19" s="134">
        <f t="shared" si="18"/>
        <v>0</v>
      </c>
      <c r="AE19" s="134">
        <f t="shared" si="18"/>
        <v>0</v>
      </c>
      <c r="AF19" s="134">
        <f t="shared" si="18"/>
        <v>0</v>
      </c>
      <c r="AG19" s="134">
        <f t="shared" si="18"/>
        <v>20</v>
      </c>
      <c r="AH19" s="134">
        <f t="shared" si="18"/>
        <v>80</v>
      </c>
      <c r="AI19" s="134">
        <f t="shared" si="18"/>
        <v>90</v>
      </c>
      <c r="AJ19" s="134">
        <f t="shared" si="18"/>
        <v>10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471</v>
      </c>
      <c r="AZ19" s="134">
        <f>SUBTOTAL(9,AZ9:AZ18)</f>
        <v>2476</v>
      </c>
      <c r="BA19" s="134">
        <f>SUBTOTAL(9,BA9:BA18)</f>
        <v>2469</v>
      </c>
      <c r="BB19" s="134">
        <f>SUBTOTAL(9,BB9:BB18)</f>
        <v>495</v>
      </c>
      <c r="BC19" s="135">
        <f>SUBTOTAL(9,BC9:BC18)</f>
        <v>402</v>
      </c>
      <c r="BD19" s="216">
        <f>IF(ISNUMBER(BA19/AZ19),BA19/AZ19," - ")</f>
        <v>0.99717285945072698</v>
      </c>
      <c r="BE19" s="213">
        <f>IF(ISNUMBER(BB19/BA19),BB19/BA19, " - ")</f>
        <v>0.20048602673147023</v>
      </c>
      <c r="BF19" s="213">
        <f>IF(ISNUMBER(BC19/BA19),BC19/BA19, " - ")</f>
        <v>0.16281895504252733</v>
      </c>
      <c r="BG19" s="135">
        <f>IF(ISNUMBER((AY19+AZ19)/BA19),(AY19+AZ19)/BA19," - ")</f>
        <v>1.193600648035642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ESjq+f3dAADzYCOiq32Dsp22pLhd5BRxBSExmLzRRHis/F8QaJPb8wUZ7XQXfQlH92f3o4to+rZaoQZ2XkIlQ==" saltValue="6CWwHGaeu9zjVL9eeH0m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DW+XIosro5mL+1SLRwJ4mD9mVZgEelujrMbAj+grx5J7kP6lrRrjI/GhI0yGdf16XVSDfcUG1NLprjKtTbvmA==" saltValue="qMt302eSRQZ3E1YVbuLO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ORGIVA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0.4</v>
      </c>
      <c r="BH10" s="263">
        <f>IF(ISNUMBER(((Datos!L10/Datos!K10)*11)/factor_trimestre),((Datos!L10/Datos!K10)*11)/factor_trimestre," - ")</f>
        <v>16.5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69</v>
      </c>
      <c r="O12" s="337"/>
      <c r="P12" s="337"/>
      <c r="Q12" s="229">
        <f>IF(ISNUMBER(Datos!P12),Datos!P12,0)</f>
        <v>169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639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145</v>
      </c>
      <c r="BD12" s="232">
        <f>IF(ISNUMBER(Datos!N12),Datos!N12," - ")</f>
        <v>225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0.87557603686635943</v>
      </c>
      <c r="BH12" s="263">
        <f>IF(ISNUMBER(((IF(J_V="SI",Datos!L12/Datos!K12,(Datos!L12+Datos!AB12)/(Datos!K12+Datos!AA12)))*11)/factor_trimestre),((IF(J_V="SI",Datos!L12/Datos!K12,(Datos!L12+Datos!AB12)/(Datos!K12+Datos!AA12)))*11)/factor_trimestre," - ")</f>
        <v>7.6999999999999993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0.18994413407821228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69</v>
      </c>
      <c r="O13" s="903">
        <f t="shared" si="0"/>
        <v>0</v>
      </c>
      <c r="P13" s="903">
        <f t="shared" si="0"/>
        <v>0</v>
      </c>
      <c r="Q13" s="902">
        <f t="shared" si="0"/>
        <v>169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67</v>
      </c>
      <c r="AD13" s="902">
        <f t="shared" si="1"/>
        <v>0</v>
      </c>
      <c r="AE13" s="902">
        <f t="shared" si="1"/>
        <v>0</v>
      </c>
      <c r="AF13" s="902">
        <f t="shared" si="1"/>
        <v>3</v>
      </c>
      <c r="AG13" s="902">
        <f t="shared" si="1"/>
        <v>0</v>
      </c>
      <c r="AH13" s="902">
        <f t="shared" si="1"/>
        <v>16</v>
      </c>
      <c r="AI13" s="902">
        <f t="shared" si="1"/>
        <v>0</v>
      </c>
      <c r="AJ13" s="902">
        <f t="shared" si="1"/>
        <v>0</v>
      </c>
      <c r="AK13" s="902">
        <f t="shared" si="1"/>
        <v>0</v>
      </c>
      <c r="AL13" s="902">
        <f t="shared" si="1"/>
        <v>0</v>
      </c>
      <c r="AM13" s="902">
        <f t="shared" si="1"/>
        <v>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147</v>
      </c>
      <c r="BD13" s="902">
        <f t="shared" si="1"/>
        <v>225</v>
      </c>
      <c r="BE13" s="902">
        <f t="shared" si="1"/>
        <v>0</v>
      </c>
      <c r="BF13" s="902">
        <f t="shared" si="1"/>
        <v>0</v>
      </c>
      <c r="BG13" s="902">
        <f>IF(ISNUMBER(Datos!K13/Datos!J13),Datos!K13/Datos!J13," - ")</f>
        <v>0.86712095400340716</v>
      </c>
      <c r="BH13" s="906">
        <f>IF(ISNUMBER(((Datos!L13/Datos!K13)*11)/factor_trimestre),((Datos!L13/Datos!K13)*11)/factor_trimestre," - ")</f>
        <v>8.3418467583497051</v>
      </c>
      <c r="BI13" s="902">
        <f>IF(ISNUMBER('Resol  Asuntos'!D13/NºAsuntos!G13),'Resol  Asuntos'!D13/NºAsuntos!G13," - ")</f>
        <v>0.25699300699300698</v>
      </c>
      <c r="BJ13" s="902" t="str">
        <f>IF(ISNUMBER(Datos!CI13/Datos!CJ13),Datos!CI13/Datos!CJ13," - ")</f>
        <v xml:space="preserve"> - </v>
      </c>
      <c r="BK13" s="902">
        <f>SUBTOTAL(9,BK8:BK12)</f>
        <v>0</v>
      </c>
      <c r="BL13" s="902" t="str">
        <f>IF(ISNUMBER((I13-AB13+L13)/(F13)),(I13-AB13+L13)/(F13)," - ")</f>
        <v xml:space="preserve"> - </v>
      </c>
      <c r="BM13" s="907">
        <f>SUBTOTAL(9,BM9:BM12)</f>
        <v>0.18994413407821228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200</v>
      </c>
      <c r="G16" s="601">
        <f>IF(ISNUMBER(IF(D_I="SI",Datos!I16,Datos!I16+Datos!AC16)),IF(D_I="SI",Datos!I16,Datos!I16+Datos!AC16)," - ")</f>
        <v>171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1394</v>
      </c>
      <c r="AC16" s="229">
        <f>IF(ISNUMBER(Datos!Q16),Datos!Q16," - ")</f>
        <v>37</v>
      </c>
      <c r="AD16" s="337"/>
      <c r="AE16" s="487"/>
      <c r="AF16" s="599">
        <f>IF(ISNUMBER(IF(D_I="SI",Datos!L16,Datos!L16+Datos!AF16)),IF(D_I="SI",Datos!L16,Datos!L16+Datos!AF16)," - ")</f>
        <v>355</v>
      </c>
      <c r="AG16" s="337"/>
      <c r="AH16" s="337"/>
      <c r="AI16" s="337"/>
      <c r="AJ16" s="337"/>
      <c r="AK16" s="337"/>
      <c r="AL16" s="482"/>
      <c r="AM16" s="338">
        <f>IF(ISNUMBER(Datos!R16),Datos!R16," - ")</f>
        <v>33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132</v>
      </c>
      <c r="BD16" s="232">
        <f>IF(ISNUMBER(Datos!N16),Datos!N16," - ")</f>
        <v>1003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0.89993544222078758</v>
      </c>
      <c r="BH16" s="263">
        <f>IF(ISNUMBER(((IF(D_I="SI",Datos!L16/Datos!K16,(Datos!L16+Datos!AF16)/(Datos!K16+Datos!AE16)))*11)/factor_trimestre),((IF(D_I="SI",Datos!L16/Datos!K16,(Datos!L16+Datos!AF16)/(Datos!K16+Datos!AE16)))*11)/factor_trimestre," - ")</f>
        <v>2.8012912482065992</v>
      </c>
      <c r="BI16" s="246">
        <f>IF(ISNUMBER('Resol  Asuntos'!D16/NºAsuntos!G16),'Resol  Asuntos'!D16/NºAsuntos!G16," - ")</f>
        <v>9.4691535150645628E-2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123</v>
      </c>
      <c r="AC17" s="229">
        <f>IF(ISNUMBER(Datos!Q17),Datos!Q17," - ")</f>
        <v>2</v>
      </c>
      <c r="AD17" s="337"/>
      <c r="AE17" s="487"/>
      <c r="AF17" s="335">
        <f>IF(ISNUMBER(Datos!L17),Datos!L17,"-")</f>
        <v>15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0.93181818181818177</v>
      </c>
      <c r="BH17" s="263">
        <f>IF(ISNUMBER(((IF(D_I="SI",Datos!L17/Datos!K17,(Datos!L17+Datos!AF17)/(Datos!K17+Datos!AE17)))*11)/factor_trimestre),((IF(D_I="SI",Datos!L17/Datos!K17,(Datos!L17+Datos!AF17)/(Datos!K17+Datos!AE17)))*11)/factor_trimestre," - ")</f>
        <v>1.3414634146341462</v>
      </c>
      <c r="BI17" s="246">
        <f>IF(ISNUMBER('Resol  Asuntos'!D17/NºAsuntos!G17),'Resol  Asuntos'!D17/NºAsuntos!G17," - ")</f>
        <v>0.17886178861788618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200</v>
      </c>
      <c r="G18" s="901">
        <f>SUBTOTAL(9,G15:G17)</f>
        <v>177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1517</v>
      </c>
      <c r="AC18" s="902">
        <f t="shared" si="4"/>
        <v>39</v>
      </c>
      <c r="AD18" s="902">
        <f t="shared" si="4"/>
        <v>0</v>
      </c>
      <c r="AE18" s="902">
        <f t="shared" si="4"/>
        <v>0</v>
      </c>
      <c r="AF18" s="902">
        <f t="shared" si="4"/>
        <v>370</v>
      </c>
      <c r="AG18" s="902">
        <f t="shared" si="4"/>
        <v>0</v>
      </c>
      <c r="AH18" s="902">
        <f t="shared" si="4"/>
        <v>0</v>
      </c>
      <c r="AI18" s="902">
        <f t="shared" si="4"/>
        <v>0</v>
      </c>
      <c r="AJ18" s="902">
        <f t="shared" si="4"/>
        <v>0</v>
      </c>
      <c r="AK18" s="902">
        <f t="shared" si="4"/>
        <v>0</v>
      </c>
      <c r="AL18" s="902">
        <f t="shared" si="4"/>
        <v>0</v>
      </c>
      <c r="AM18" s="902">
        <f t="shared" si="4"/>
        <v>34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154</v>
      </c>
      <c r="BD18" s="902">
        <f t="shared" si="4"/>
        <v>1058</v>
      </c>
      <c r="BE18" s="902">
        <f t="shared" si="4"/>
        <v>0</v>
      </c>
      <c r="BF18" s="902">
        <f t="shared" si="4"/>
        <v>0</v>
      </c>
      <c r="BG18" s="902">
        <f>IF(ISNUMBER(Datos!K18/Datos!J18),Datos!K18/Datos!J18," - ")</f>
        <v>0.90243902439024393</v>
      </c>
      <c r="BH18" s="906">
        <f>IF(ISNUMBER(((Datos!L18/Datos!K18)*11)/factor_trimestre),((Datos!L18/Datos!K18)*11)/factor_trimestre," - ")</f>
        <v>2.6829268292682924</v>
      </c>
      <c r="BI18" s="902">
        <f>SUBTOTAL(9,BI15:BI17)</f>
        <v>0.27355332376853181</v>
      </c>
      <c r="BJ18" s="902">
        <f>SUBTOTAL(9,BJ15:BJ17)</f>
        <v>0</v>
      </c>
      <c r="BK18" s="902">
        <f>SUBTOTAL(9,BK15:BK17)</f>
        <v>0</v>
      </c>
      <c r="BL18" s="902">
        <f>IF(ISNUMBER((I18-AB18+L18)/(F18)),(I18-AB18+L18)/(F18)," - ")</f>
        <v>-7.585</v>
      </c>
      <c r="BM18" s="908">
        <f>IF(ISNUMBER((Datos!P18-Datos!Q18)/(Datos!R18-Datos!P18+Datos!Q18)),(Datos!P18-Datos!Q18)/(Datos!R18-Datos!P18+Datos!Q18)," - ")</f>
        <v>-0.2608695652173913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200</v>
      </c>
      <c r="G19" s="823">
        <f t="shared" si="6"/>
        <v>177</v>
      </c>
      <c r="H19" s="825">
        <f t="shared" si="6"/>
        <v>0</v>
      </c>
      <c r="I19" s="823">
        <f t="shared" si="6"/>
        <v>0</v>
      </c>
      <c r="J19" s="825">
        <f t="shared" si="6"/>
        <v>0</v>
      </c>
      <c r="K19" s="825">
        <f t="shared" si="6"/>
        <v>0</v>
      </c>
      <c r="L19" s="884">
        <f t="shared" si="6"/>
        <v>0</v>
      </c>
      <c r="M19" s="884">
        <f t="shared" si="6"/>
        <v>0</v>
      </c>
      <c r="N19" s="884">
        <f t="shared" si="6"/>
        <v>69</v>
      </c>
      <c r="O19" s="884">
        <f t="shared" si="6"/>
        <v>0</v>
      </c>
      <c r="P19" s="884">
        <f t="shared" si="6"/>
        <v>0</v>
      </c>
      <c r="Q19" s="825">
        <f t="shared" si="6"/>
        <v>196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1519</v>
      </c>
      <c r="AC19" s="824">
        <f t="shared" si="7"/>
        <v>106</v>
      </c>
      <c r="AD19" s="824">
        <f t="shared" si="7"/>
        <v>0</v>
      </c>
      <c r="AE19" s="824">
        <f t="shared" si="7"/>
        <v>0</v>
      </c>
      <c r="AF19" s="831">
        <f t="shared" si="7"/>
        <v>373</v>
      </c>
      <c r="AG19" s="831">
        <f t="shared" si="7"/>
        <v>0</v>
      </c>
      <c r="AH19" s="831">
        <f t="shared" si="7"/>
        <v>16</v>
      </c>
      <c r="AI19" s="831">
        <f t="shared" si="7"/>
        <v>0</v>
      </c>
      <c r="AJ19" s="824">
        <f t="shared" si="7"/>
        <v>0</v>
      </c>
      <c r="AK19" s="831">
        <f t="shared" si="7"/>
        <v>0</v>
      </c>
      <c r="AL19" s="831">
        <f t="shared" si="7"/>
        <v>0</v>
      </c>
      <c r="AM19" s="831">
        <f t="shared" si="7"/>
        <v>674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301</v>
      </c>
      <c r="BD19" s="823">
        <f t="shared" si="7"/>
        <v>1283</v>
      </c>
      <c r="BE19" s="823">
        <f t="shared" si="7"/>
        <v>0</v>
      </c>
      <c r="BF19" s="833">
        <f t="shared" si="7"/>
        <v>0</v>
      </c>
      <c r="BG19" s="918">
        <f>IF(ISNUMBER(Datos!K19/Datos!J19),Datos!K19/Datos!J19," - ")</f>
        <v>0.89329805996472667</v>
      </c>
      <c r="BH19" s="918">
        <f>IF(ISNUMBER(((Datos!L19/Datos!K19)*11)/factor_trimestre),((Datos!L19/Datos!K19)*11)/factor_trimestre," - ")</f>
        <v>4.1046396841066137</v>
      </c>
      <c r="BI19" s="816">
        <f>IF(ISNUMBER(Datos!J19/Datos!I19),Datos!J19/Datos!I19," - ")</f>
        <v>4.6762886597938147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-7.5949999999999998</v>
      </c>
      <c r="BM19" s="892">
        <f>IF(ISNUMBER((Datos!P19-Datos!Q19+R19)/(Datos!R19-Datos!P19+Datos!Q19-R19)),(Datos!P19-Datos!Q19+R19)/(Datos!R19-Datos!P19+Datos!Q19-R19)," - ")</f>
        <v>0.1541095890410959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115.47005383792515</v>
      </c>
      <c r="G21" s="555">
        <f>IF(ISNUMBER(STDEV(G8:G18)),STDEV(G8:G18),"-")</f>
        <v>94.263991003988366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776.81613011059449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69.081594268420488</v>
      </c>
      <c r="BD21" s="554"/>
      <c r="BE21" s="554">
        <f>IF(ISNUMBER(STDEV(BE8:BE18)),STDEV(BE8:BE18),"-")</f>
        <v>0</v>
      </c>
      <c r="BF21" s="559">
        <f>IF(ISNUMBER(STDEV(BF8:BF18)),STDEV(BF8:BF18),"-")</f>
        <v>0</v>
      </c>
      <c r="BG21" s="778">
        <f>IF(ISNUMBER(STDEV(BG8:BG18)),STDEV(BG8:BG18),"-")</f>
        <v>0.20351339174473934</v>
      </c>
      <c r="BH21" s="779">
        <f>IF(ISNUMBER(STDEV(BH8:BH18)),STDEV(BH8:BH18),"-")</f>
        <v>5.6510331864058276</v>
      </c>
      <c r="BI21" s="252">
        <f>IF(ISNUMBER(STDEV(BI8:BI18)),STDEV(BI8:BI18),"-")</f>
        <v>8.2038180625546797E-2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s9tIpWL1QbPLmFCiWcJXTafniyRFik5xkYgtSCDwEF1aanAoh6Kjl3Ibqh9ruQqlZPgDDqLNSDh8PYq+Bd7qQ==" saltValue="x7OyDdHvLMTk+Ir9+M6k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ORGIVA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v>
      </c>
      <c r="AA12" s="335" t="str">
        <f>IF(ISNUMBER(IF(J_V="SI",Datos!L12,Datos!L12+Datos!AB12)-IF(Monitorios="SI",Datos!CD12,0)),
                          IF(J_V="SI",Datos!L12,Datos!L12+Datos!AB12)-IF(Monitorios="SI",Datos!CD12,0),
                          " - ")</f>
        <v xml:space="preserve"> - </v>
      </c>
      <c r="AB12" s="337"/>
      <c r="AC12" s="337"/>
      <c r="AD12" s="487"/>
      <c r="AE12" s="487">
        <f>IF(ISNUMBER(Datos!R12),Datos!R12," - ")</f>
        <v>639</v>
      </c>
      <c r="AF12" s="232" t="str">
        <f>IF(ISNUMBER(Datos!BV12),Datos!BV12," - ")</f>
        <v xml:space="preserve"> - </v>
      </c>
      <c r="AG12" s="228" t="str">
        <f>IF(ISNUMBER(Datos!DV12),Datos!DV12," - ")</f>
        <v xml:space="preserve"> - </v>
      </c>
      <c r="AH12" s="301"/>
      <c r="AI12" s="230"/>
      <c r="AJ12" s="228">
        <f>IF(ISNUMBER(Datos!M12),Datos!M12," - ")</f>
        <v>145</v>
      </c>
      <c r="AK12" s="232">
        <f>IF(ISNUMBER(Datos!N12),Datos!N12," - ")</f>
        <v>225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7.6999999999999993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0.18994413407821228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67</v>
      </c>
      <c r="AA13" s="903">
        <f t="shared" si="2"/>
        <v>3</v>
      </c>
      <c r="AB13" s="903">
        <f t="shared" si="2"/>
        <v>0</v>
      </c>
      <c r="AC13" s="903">
        <f t="shared" si="2"/>
        <v>0</v>
      </c>
      <c r="AD13" s="903">
        <f t="shared" si="2"/>
        <v>0</v>
      </c>
      <c r="AE13" s="903">
        <f t="shared" si="2"/>
        <v>640</v>
      </c>
      <c r="AF13" s="911">
        <f t="shared" si="2"/>
        <v>0</v>
      </c>
      <c r="AG13" s="911">
        <f t="shared" si="2"/>
        <v>0</v>
      </c>
      <c r="AH13" s="911">
        <f t="shared" si="2"/>
        <v>0</v>
      </c>
      <c r="AI13" s="911">
        <f t="shared" si="2"/>
        <v>0</v>
      </c>
      <c r="AJ13" s="911">
        <f t="shared" si="2"/>
        <v>147</v>
      </c>
      <c r="AK13" s="911">
        <f t="shared" si="2"/>
        <v>225</v>
      </c>
      <c r="AL13" s="911">
        <f t="shared" si="2"/>
        <v>0</v>
      </c>
      <c r="AM13" s="911">
        <f t="shared" si="2"/>
        <v>0</v>
      </c>
      <c r="AN13" s="911">
        <f t="shared" si="2"/>
        <v>0</v>
      </c>
      <c r="AO13" s="907">
        <f>IF(ISNUMBER(((NºAsuntos!I13/NºAsuntos!G13)*11)/factor_trimestre),((NºAsuntos!I13/NºAsuntos!G13)*11)/factor_trimestre," - ")</f>
        <v>7.7307692307692308</v>
      </c>
      <c r="AP13" s="913" t="str">
        <f>IF(ISNUMBER(Datos!CI13/Datos!CJ13),Datos!CI13/Datos!CJ13," - ")</f>
        <v xml:space="preserve"> - </v>
      </c>
      <c r="AQ13" s="931">
        <f t="shared" ref="AQ13:AV13" si="3">SUBTOTAL(9,AQ9:AQ12)</f>
        <v>0</v>
      </c>
      <c r="AR13" s="931">
        <f t="shared" si="3"/>
        <v>0.18994413407821228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200</v>
      </c>
      <c r="G16" s="228">
        <f>IF(ISNUMBER(IF(D_I="SI",Datos!I16,Datos!I16+Datos!AC16)),IF(D_I="SI",Datos!I16,Datos!I16+Datos!AC16)," - ")</f>
        <v>171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1394</v>
      </c>
      <c r="Z16" s="622">
        <f>IF(ISNUMBER(Datos!Q16),Datos!Q16," - ")</f>
        <v>37</v>
      </c>
      <c r="AA16" s="335">
        <f>IF(ISNUMBER(IF(D_I="SI",Datos!L16,Datos!L16+Datos!AF16)),IF(D_I="SI",Datos!L16,Datos!L16+Datos!AF16)," - ")</f>
        <v>355</v>
      </c>
      <c r="AB16" s="337"/>
      <c r="AC16" s="337"/>
      <c r="AD16" s="487"/>
      <c r="AE16" s="487">
        <f>IF(ISNUMBER(Datos!R16),Datos!R16," - ")</f>
        <v>33</v>
      </c>
      <c r="AF16" s="232" t="str">
        <f>IF(ISNUMBER(Datos!BV16),Datos!BV16," - ")</f>
        <v xml:space="preserve"> - </v>
      </c>
      <c r="AG16" s="228"/>
      <c r="AH16" s="301"/>
      <c r="AI16" s="230"/>
      <c r="AJ16" s="228">
        <f>IF(ISNUMBER(Datos!M16),Datos!M16," - ")</f>
        <v>132</v>
      </c>
      <c r="AK16" s="232">
        <f>IF(ISNUMBER(Datos!N16),Datos!N16," - ")</f>
        <v>1003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2.8012912482065992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123</v>
      </c>
      <c r="Z17" s="622">
        <f>IF(ISNUMBER(Datos!Q17),Datos!Q17," - ")</f>
        <v>2</v>
      </c>
      <c r="AA17" s="335">
        <f>IF(ISNUMBER(Datos!L17),Datos!L17,"-")</f>
        <v>15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22</v>
      </c>
      <c r="AK17" s="232">
        <f>IF(ISNUMBER(Datos!N17),Datos!N17," - ")</f>
        <v>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1.3414634146341462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200</v>
      </c>
      <c r="G18" s="901">
        <f>SUBTOTAL(9,G15:G17)</f>
        <v>177</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1517</v>
      </c>
      <c r="Z18" s="935">
        <f t="shared" si="5"/>
        <v>39</v>
      </c>
      <c r="AA18" s="935">
        <f t="shared" si="5"/>
        <v>370</v>
      </c>
      <c r="AB18" s="935">
        <f t="shared" si="5"/>
        <v>0</v>
      </c>
      <c r="AC18" s="935">
        <f t="shared" si="5"/>
        <v>0</v>
      </c>
      <c r="AD18" s="935">
        <f t="shared" si="5"/>
        <v>0</v>
      </c>
      <c r="AE18" s="935">
        <f t="shared" si="5"/>
        <v>34</v>
      </c>
      <c r="AF18" s="935">
        <f t="shared" si="5"/>
        <v>0</v>
      </c>
      <c r="AG18" s="935">
        <f t="shared" si="5"/>
        <v>0</v>
      </c>
      <c r="AH18" s="935">
        <f t="shared" si="5"/>
        <v>0</v>
      </c>
      <c r="AI18" s="935">
        <f t="shared" si="5"/>
        <v>0</v>
      </c>
      <c r="AJ18" s="935">
        <f t="shared" si="5"/>
        <v>154</v>
      </c>
      <c r="AK18" s="935">
        <f t="shared" si="5"/>
        <v>1058</v>
      </c>
      <c r="AL18" s="935">
        <f t="shared" si="5"/>
        <v>0</v>
      </c>
      <c r="AM18" s="935">
        <f t="shared" si="5"/>
        <v>0</v>
      </c>
      <c r="AN18" s="935">
        <f t="shared" si="5"/>
        <v>0</v>
      </c>
      <c r="AO18" s="937">
        <f>IF(ISNUMBER(((NºAsuntos!I18/NºAsuntos!G18)*11)/factor_trimestre),((NºAsuntos!I18/NºAsuntos!G18)*11)/factor_trimestre," - ")</f>
        <v>2.6829268292682924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200</v>
      </c>
      <c r="G19" s="823">
        <f t="shared" si="7"/>
        <v>177</v>
      </c>
      <c r="H19" s="824">
        <f t="shared" si="7"/>
        <v>0</v>
      </c>
      <c r="I19" s="823">
        <f t="shared" si="7"/>
        <v>0</v>
      </c>
      <c r="J19" s="825">
        <f t="shared" si="7"/>
        <v>0</v>
      </c>
      <c r="K19" s="823">
        <f t="shared" si="7"/>
        <v>0</v>
      </c>
      <c r="L19" s="826">
        <f t="shared" si="7"/>
        <v>0</v>
      </c>
      <c r="M19" s="823">
        <f t="shared" si="7"/>
        <v>0</v>
      </c>
      <c r="N19" s="824">
        <f t="shared" si="7"/>
        <v>196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1519</v>
      </c>
      <c r="Z19" s="830">
        <f t="shared" si="8"/>
        <v>106</v>
      </c>
      <c r="AA19" s="831">
        <f t="shared" si="8"/>
        <v>373</v>
      </c>
      <c r="AB19" s="831">
        <f t="shared" si="8"/>
        <v>0</v>
      </c>
      <c r="AC19" s="831">
        <f t="shared" si="8"/>
        <v>0</v>
      </c>
      <c r="AD19" s="832">
        <f t="shared" si="8"/>
        <v>0</v>
      </c>
      <c r="AE19" s="832">
        <f t="shared" si="8"/>
        <v>674</v>
      </c>
      <c r="AF19" s="833">
        <f t="shared" si="8"/>
        <v>0</v>
      </c>
      <c r="AG19" s="834">
        <f t="shared" si="8"/>
        <v>0</v>
      </c>
      <c r="AH19" s="835">
        <f t="shared" si="8"/>
        <v>0</v>
      </c>
      <c r="AI19" s="833">
        <f t="shared" si="8"/>
        <v>0</v>
      </c>
      <c r="AJ19" s="823">
        <f t="shared" si="8"/>
        <v>301</v>
      </c>
      <c r="AK19" s="823">
        <f t="shared" si="8"/>
        <v>1283</v>
      </c>
      <c r="AL19" s="823">
        <f t="shared" si="8"/>
        <v>0</v>
      </c>
      <c r="AM19" s="836">
        <f t="shared" si="8"/>
        <v>0</v>
      </c>
      <c r="AN19" s="826">
        <f>IF(ISNUMBER(Datos!K19/Datos!J19),Datos!K19/Datos!J19," - ")</f>
        <v>0.89329805996472667</v>
      </c>
      <c r="AO19" s="826">
        <f>IF(ISNUMBER(FIND("06",Criterios!A8,1)),(IF(ISNUMBER(((Datos!R19/Datos!Q19)*11)/factor_trimestre),((Datos!R19/Datos!Q19)*11)/factor_trimestre," - ")),(IF(ISNUMBER(((Datos!L19/Datos!K19)*11)/factor_trimestre),((Datos!L19/Datos!K19)*11)/factor_trimestre," - ")))</f>
        <v>4.1046396841066137</v>
      </c>
      <c r="AP19" s="837" t="str">
        <f>IF(ISNUMBER(Datos!CI19/Datos!CJ19),Datos!CI19/Datos!CJ19," - ")</f>
        <v xml:space="preserve"> - </v>
      </c>
      <c r="AQ19" s="837">
        <f>IF(OR(ISNUMBER(FIND("01",Criterios!A8,1)),ISNUMBER(FIND("02",Criterios!A8,1)),ISNUMBER(FIND("03",Criterios!A8,1)),ISNUMBER(FIND("04",Criterios!A8,1))),(J19-Y19+K19)/(F19-K19),(I19-Y19+K19)/(F19-K19))</f>
        <v>-7.5949999999999998</v>
      </c>
      <c r="AR19" s="837">
        <f>IF(ISNUMBER((Datos!P19-Datos!Q19+O19)/(Datos!R19-Datos!P19+Datos!Q19-O19)),(Datos!P19-Datos!Q19+O19)/(Datos!R19-Datos!P19+Datos!Q19-O19)," - ")</f>
        <v>0.1541095890410959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115.47005383792515</v>
      </c>
      <c r="G21" s="555">
        <f>IF(ISNUMBER(STDEV(G8:G18)),STDEV(G8:G18),"-")</f>
        <v>94.263991003988366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69.081594268420488</v>
      </c>
      <c r="AK21" s="255"/>
      <c r="AL21" s="255">
        <f>IF(ISNUMBER(STDEV(AL8:AL18)),STDEV(AL8:AL18),"-")</f>
        <v>0</v>
      </c>
      <c r="AM21" s="257">
        <f>IF(ISNUMBER(STDEV(AM8:AM18)),STDEV(AM8:AM18),"-")</f>
        <v>0</v>
      </c>
      <c r="AN21" s="542">
        <f>IF(ISNUMBER(STDEV(AN8:AN18)),STDEV(AN8:AN18),"-")</f>
        <v>0</v>
      </c>
      <c r="AO21" s="543">
        <f>IF(ISNUMBER(STDEV(AO8:AO18)),STDEV(AO8:AO18),"-")</f>
        <v>5.6179337942262748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kRSyTxQN6Nuix9WfnxlVhgt9S/pPYUH3MmEV9x77yusTMVEqlUcZ8nvSKU/Tq61Onwcw2D+TYriJgIT4TcyPQ==" saltValue="Hoz6vQUahQzS1sAL2m3w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VG7qiMSWv6SilkP/pqktm5wPMfeK4V+BJLB8CdCA3PriQ0EqWPumVairzjOe8fhvfq+cZ44fxQLHFGGk6fuXQ==" saltValue="DQBR2hyeZLhp19XLEEcL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EzhOnVJdcZlXYxehYKd0u8es/Fc5Is4Gz5fgVDBHvzQjnFiHIsDAYk0tbWGzDXh3+cAV7M465YGBv/B3sh0Xg==" saltValue="Y8F9mmu+BHXVVJIlWls4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ORGIVA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0.25699300699300698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0.18172149796227705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9+AAmgjI+ewOVpPVf1Mxj6yZcK5x8a9wBTe8pOeV7v2Vg9U4f6gzc44rD8Iyy48UfP5ien3KpbOzvcE/3Gnaw==" saltValue="LQVpRkiJZOV6E9e8FjUq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LSBM0A+TjgpESrrkP40DdHs+gMwGCyA8yQYl7fSxHZc0md1/9Ai3UNLwHk14YWABnJdJ5f5Ir9RKu1qHz9sDQ==" saltValue="U3h1AQw6nqkZGWFxUyGQ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ORGIVA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5</v>
      </c>
      <c r="F10" s="407">
        <f>IF(ISNUMBER(E10/B10),E10/B10," - ")</f>
        <v>5</v>
      </c>
      <c r="G10" s="406">
        <f>IF(ISNUMBER(Datos!K10),Datos!K10," - ")</f>
        <v>2</v>
      </c>
      <c r="H10" s="407">
        <f>IF(ISNUMBER(G10/B10),G10/B10," - ")</f>
        <v>2</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318</v>
      </c>
      <c r="D12" s="407">
        <f>IF(ISNUMBER(C12/Datos!BH12),C12/Datos!BH12," - ")</f>
        <v>159</v>
      </c>
      <c r="E12" s="406">
        <f>IF(ISNUMBER(IF(J_V="SI",Datos!J12,Datos!J12+Datos!Z12)),IF(J_V="SI",Datos!J12,Datos!J12+Datos!Z12)," - ")</f>
        <v>651</v>
      </c>
      <c r="F12" s="407">
        <f>IF(ISNUMBER(E12/B12),E12/B12," - ")</f>
        <v>325.5</v>
      </c>
      <c r="G12" s="406">
        <f>IF(ISNUMBER(IF(J_V="SI",Datos!K12,Datos!K12+Datos!AA12)),IF(J_V="SI",Datos!K12,Datos!K12+Datos!AA12)," - ")</f>
        <v>570</v>
      </c>
      <c r="H12" s="407">
        <f>IF(ISNUMBER(G12/B12),G12/B12," - ")</f>
        <v>285</v>
      </c>
      <c r="I12" s="406">
        <f>IF(ISNUMBER(IF(J_V="SI",Datos!L12,Datos!L12+Datos!AB12)),IF(J_V="SI",Datos!L12,Datos!L12+Datos!AB12)," - ")</f>
        <v>399</v>
      </c>
      <c r="J12" s="407">
        <f>IF(ISNUMBER(I12/B12),I12/B12," - ")</f>
        <v>199.5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318</v>
      </c>
      <c r="D13" s="853" t="str">
        <f>IF(ISNUMBER(C13/Datos!BI13),C13/Datos!BI13," - ")</f>
        <v xml:space="preserve"> - </v>
      </c>
      <c r="E13" s="852">
        <f>SUBTOTAL(9,E8:E12)</f>
        <v>656</v>
      </c>
      <c r="F13" s="853">
        <f>IF(ISNUMBER(E13/B13),E13/B13," - ")</f>
        <v>328</v>
      </c>
      <c r="G13" s="852">
        <f>SUBTOTAL(9,G8:G12)</f>
        <v>572</v>
      </c>
      <c r="H13" s="853">
        <f>IF(ISNUMBER(G13/B13),G13/B13," - ")</f>
        <v>286</v>
      </c>
      <c r="I13" s="852">
        <f>SUBTOTAL(9,I8:I12)</f>
        <v>402</v>
      </c>
      <c r="J13" s="853">
        <f>IF(ISNUMBER(I13/B13),I13/B13," - ")</f>
        <v>201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171</v>
      </c>
      <c r="D16" s="407">
        <f>IF(ISNUMBER(C16/Datos!BH16),C16/Datos!BH16," - ")</f>
        <v>85.5</v>
      </c>
      <c r="E16" s="406">
        <f>IF(ISNUMBER(IF(D_I="SI",Datos!J16,Datos!J16+Datos!AD16)),IF(D_I="SI",Datos!J16,Datos!J16+Datos!AD16)," - ")</f>
        <v>1549</v>
      </c>
      <c r="F16" s="407">
        <f>IF(ISNUMBER(E16/B16),E16/B16," - ")</f>
        <v>774.5</v>
      </c>
      <c r="G16" s="406">
        <f>IF(ISNUMBER(IF(D_I="SI",Datos!K16,Datos!K16+Datos!AE16)),IF(D_I="SI",Datos!K16,Datos!K16+Datos!AE16)," - ")</f>
        <v>1394</v>
      </c>
      <c r="H16" s="407">
        <f>IF(ISNUMBER(G16/B16),G16/B16," - ")</f>
        <v>697</v>
      </c>
      <c r="I16" s="406">
        <f>IF(ISNUMBER(IF(D_I="SI",Datos!L16,Datos!L16+Datos!AF16)),IF(D_I="SI",Datos!L16,Datos!L16+Datos!AF16)," - ")</f>
        <v>355</v>
      </c>
      <c r="J16" s="407">
        <f>IF(ISNUMBER(I16/B16),I16/B16," - ")</f>
        <v>177.5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v>
      </c>
      <c r="D17" s="407">
        <f>IF(ISNUMBER(C17/Datos!BH17),C17/Datos!BH17," - ")</f>
        <v>6</v>
      </c>
      <c r="E17" s="406">
        <f>IF(ISNUMBER(IF(D_I="SI",Datos!J17,Datos!J17+Datos!AD17)),IF(D_I="SI",Datos!J17,Datos!J17+Datos!AD17)," - ")</f>
        <v>132</v>
      </c>
      <c r="F17" s="407">
        <f>IF(ISNUMBER(E17/B17),E17/B17," - ")</f>
        <v>132</v>
      </c>
      <c r="G17" s="406">
        <f>IF(ISNUMBER(IF(D_I="SI",Datos!K17,Datos!K17+Datos!AE17)),IF(D_I="SI",Datos!K17,Datos!K17+Datos!AE17)," - ")</f>
        <v>123</v>
      </c>
      <c r="H17" s="407">
        <f>IF(ISNUMBER(G17/B17),G17/B17," - ")</f>
        <v>123</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177</v>
      </c>
      <c r="D18" s="853" t="str">
        <f>IF(ISNUMBER(C18/Datos!BI18),C18/Datos!BI18," - ")</f>
        <v xml:space="preserve"> - </v>
      </c>
      <c r="E18" s="852">
        <f>SUBTOTAL(9,E14:E17)</f>
        <v>1681</v>
      </c>
      <c r="F18" s="853">
        <f>IF(ISNUMBER(E18/B18),E18/B18," - ")</f>
        <v>840.5</v>
      </c>
      <c r="G18" s="852">
        <f>SUBTOTAL(9,G14:G17)</f>
        <v>1517</v>
      </c>
      <c r="H18" s="853">
        <f>IF(ISNUMBER(G18/B18),G18/B18," - ")</f>
        <v>758.5</v>
      </c>
      <c r="I18" s="852">
        <f>SUBTOTAL(9,I14:I17)</f>
        <v>370</v>
      </c>
      <c r="J18" s="853">
        <f>IF(ISNUMBER(I18/B18),I18/B18," - ")</f>
        <v>185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495</v>
      </c>
      <c r="D19" s="798" t="str">
        <f>IF(ISNUMBER(C19/Datos!BI19),C19/Datos!BI19," - ")</f>
        <v xml:space="preserve"> - </v>
      </c>
      <c r="E19" s="797">
        <f>SUBTOTAL(9,E9:E18)</f>
        <v>2337</v>
      </c>
      <c r="F19" s="798">
        <f>IF(ISNUMBER(E19/B19),E19/B19," - ")</f>
        <v>1168.5</v>
      </c>
      <c r="G19" s="797">
        <f>SUBTOTAL(9,G9:G18)</f>
        <v>2089</v>
      </c>
      <c r="H19" s="798">
        <f>IF(ISNUMBER(G19/B19),G19/B19," - ")</f>
        <v>1044.5</v>
      </c>
      <c r="I19" s="797">
        <f>SUBTOTAL(9,I9:I18)</f>
        <v>772</v>
      </c>
      <c r="J19" s="798">
        <f>IF(ISNUMBER(I19/B19),I19/B19," - ")</f>
        <v>386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c4RQBMw4LRXCfa64tNQAx3DonIxSeGOY8V7e73/pszTDnwbOIJ6Z5rWmwWGNJZ4zfcYBdQB7Jbwyz1kvv3f2w==" saltValue="SMaXV7xqZfz+JbmdTUW5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ORGIVA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145</v>
      </c>
      <c r="AM12" s="693">
        <f>IF(ISNUMBER(Datos!N12+DatosP!N16),Datos!N12+DatosP!N16," - ")</f>
        <v>225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7.6999999999999993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0.18994413407821228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67</v>
      </c>
      <c r="AE13" s="942">
        <f t="shared" si="1"/>
        <v>0</v>
      </c>
      <c r="AF13" s="942">
        <f t="shared" si="1"/>
        <v>3</v>
      </c>
      <c r="AG13" s="942">
        <f t="shared" si="1"/>
        <v>0</v>
      </c>
      <c r="AH13" s="942">
        <f t="shared" si="1"/>
        <v>639</v>
      </c>
      <c r="AI13" s="942">
        <f t="shared" si="1"/>
        <v>0</v>
      </c>
      <c r="AJ13" s="942">
        <f t="shared" si="1"/>
        <v>0</v>
      </c>
      <c r="AK13" s="942">
        <f t="shared" si="1"/>
        <v>0</v>
      </c>
      <c r="AL13" s="942">
        <f t="shared" si="1"/>
        <v>147</v>
      </c>
      <c r="AM13" s="942">
        <f t="shared" si="1"/>
        <v>225</v>
      </c>
      <c r="AN13" s="942">
        <f t="shared" si="1"/>
        <v>0</v>
      </c>
      <c r="AO13" s="942">
        <f t="shared" si="1"/>
        <v>0</v>
      </c>
      <c r="AP13" s="947">
        <f>IF(ISNUMBER(((Datos!L13/Datos!K13)*11)/factor_trimestre),((Datos!L13/Datos!K13)*11)/factor_trimestre," - ")</f>
        <v>8.3418467583497051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0.18994413407821228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2.6829268292682924</v>
      </c>
      <c r="AQ18" s="947">
        <f>IF(ISNUMBER(((Datos!M18/Datos!L18)*11)/factor_trimestre),((Datos!M18/Datos!L18)*11)/factor_trimestre," - ")</f>
        <v>4.5783783783783782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-0.2608695652173913</v>
      </c>
      <c r="AW18" s="949">
        <f>IF(ISNUMBER((Datos!Q18-Datos!R18)/(Datos!S18-Datos!Q18+Datos!R18)),(Datos!Q18-Datos!R18)/(Datos!S18-Datos!Q18+Datos!R18)," - ")</f>
        <v>2.4630541871921183E-2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67</v>
      </c>
      <c r="AE19" s="960">
        <f t="shared" si="5"/>
        <v>0</v>
      </c>
      <c r="AF19" s="961">
        <f t="shared" si="5"/>
        <v>3</v>
      </c>
      <c r="AG19" s="961">
        <f t="shared" si="5"/>
        <v>0</v>
      </c>
      <c r="AH19" s="961">
        <f t="shared" si="5"/>
        <v>639</v>
      </c>
      <c r="AI19" s="961">
        <f t="shared" si="5"/>
        <v>0</v>
      </c>
      <c r="AJ19" s="962">
        <f t="shared" si="5"/>
        <v>0</v>
      </c>
      <c r="AK19" s="962">
        <f t="shared" si="5"/>
        <v>0</v>
      </c>
      <c r="AL19" s="954">
        <f t="shared" si="5"/>
        <v>147</v>
      </c>
      <c r="AM19" s="954">
        <f t="shared" si="5"/>
        <v>225</v>
      </c>
      <c r="AN19" s="954">
        <f t="shared" si="5"/>
        <v>0</v>
      </c>
      <c r="AO19" s="954">
        <f t="shared" si="5"/>
        <v>0</v>
      </c>
      <c r="AP19" s="954">
        <f>IF(ISNUMBER(((Datos!L19/Datos!K19)*11)/factor_trimestre),((Datos!L19/Datos!K19)*11)/factor_trimestre," - ")</f>
        <v>4.1046396841066137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0.1541095890410959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83.723752105759488</v>
      </c>
      <c r="AM21" s="739"/>
      <c r="AN21" s="739">
        <f>IF(ISNUMBER(STDEV(AN8:AN18)),STDEV(AN8:AN18),"-")</f>
        <v>0</v>
      </c>
      <c r="AO21" s="745">
        <f>IF(ISNUMBER(STDEV(AO8:AO18)),STDEV(AO8:AO18),"-")</f>
        <v>0</v>
      </c>
      <c r="AP21" s="782">
        <f>IF(ISNUMBER(STDEV(AP8:AP18)),STDEV(AP8:AP18),"-")</f>
        <v>5.7192171706816506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PQCUHMjgAFspo2ZyKt/xFx54RXb1CGOyy7Nz31CW0BQC/l9tNTEvFl4VHrmgFMaT4/1jduJ4Xub3NhbO6a30w==" saltValue="VwwU7BTRwKTwm+c+5CCE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ORGIVA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6jR98o6q0lX1vh4WZ7BLYT+xQ+5mFyPSLiAmvI3uhCIWGhM5MBEF09msnks5oLs7UyRbhCsfTIbzU5jmLaHV3w==" saltValue="XFcQjY8qHAUftNl/AxN4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ORGIVA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145</v>
      </c>
      <c r="E12" s="407">
        <f t="shared" si="0"/>
        <v>72.5</v>
      </c>
      <c r="F12" s="406">
        <f>IF(ISNUMBER(Datos!N12),Datos!N12," - ")</f>
        <v>225</v>
      </c>
      <c r="G12" s="407">
        <f t="shared" si="1"/>
        <v>112.5</v>
      </c>
      <c r="H12" s="406">
        <f>IF(ISNUMBER(Datos!O12),Datos!O12," - ")</f>
        <v>275</v>
      </c>
      <c r="I12" s="407">
        <f t="shared" si="2"/>
        <v>137.5</v>
      </c>
    </row>
    <row r="13" spans="1:9" ht="14.25" thickTop="1" thickBot="1">
      <c r="A13" s="851" t="str">
        <f>Datos!A13</f>
        <v>TOTAL</v>
      </c>
      <c r="B13" s="852">
        <f>Datos!AO13</f>
        <v>3</v>
      </c>
      <c r="C13" s="854">
        <f>Datos!AR13</f>
        <v>2</v>
      </c>
      <c r="D13" s="852">
        <f>SUBTOTAL(9,D9:D12)</f>
        <v>147</v>
      </c>
      <c r="E13" s="853">
        <f t="shared" si="0"/>
        <v>49</v>
      </c>
      <c r="F13" s="852">
        <f>SUBTOTAL(9,F9:F12)</f>
        <v>225</v>
      </c>
      <c r="G13" s="853">
        <f t="shared" si="1"/>
        <v>75</v>
      </c>
      <c r="H13" s="852">
        <f>SUBTOTAL(9,H9:H12)</f>
        <v>275</v>
      </c>
      <c r="I13" s="853">
        <f>IF(ISNUMBER(H13/B13),H13/B13," - ")</f>
        <v>91.666666666666671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132</v>
      </c>
      <c r="E16" s="407">
        <f t="shared" si="3"/>
        <v>66</v>
      </c>
      <c r="F16" s="406">
        <f>IF(ISNUMBER(Datos!N16),Datos!N16," - ")</f>
        <v>1003</v>
      </c>
      <c r="G16" s="407">
        <f t="shared" si="4"/>
        <v>501.5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55</v>
      </c>
      <c r="G17" s="407">
        <f>IF(ISNUMBER(F17/B17),F17/B17," - ")</f>
        <v>55</v>
      </c>
      <c r="H17" s="406">
        <f>IF(ISNUMBER(Datos!O17),Datos!O17," - ")</f>
        <v>0</v>
      </c>
      <c r="I17" s="407">
        <f t="shared" si="5"/>
        <v>0</v>
      </c>
    </row>
    <row r="18" spans="1:9" ht="14.25" thickTop="1" thickBot="1">
      <c r="A18" s="851" t="str">
        <f>Datos!A18</f>
        <v>TOTAL</v>
      </c>
      <c r="B18" s="852">
        <f>Datos!AO18</f>
        <v>3</v>
      </c>
      <c r="C18" s="854">
        <f>Datos!AR18</f>
        <v>2</v>
      </c>
      <c r="D18" s="852">
        <f>SUBTOTAL(9,D15:D17)</f>
        <v>154</v>
      </c>
      <c r="E18" s="853">
        <f t="shared" si="3"/>
        <v>51.333333333333336</v>
      </c>
      <c r="F18" s="852">
        <f>SUBTOTAL(9,F15:F17)</f>
        <v>1058</v>
      </c>
      <c r="G18" s="853">
        <f t="shared" si="4"/>
        <v>352.66666666666669</v>
      </c>
      <c r="H18" s="852">
        <f>SUBTOTAL(9,H15:H17)</f>
        <v>0</v>
      </c>
      <c r="I18" s="853">
        <f>IF(ISNUMBER(H18/B18),H18/B18," - ")</f>
        <v>0</v>
      </c>
    </row>
    <row r="19" spans="1:9" ht="14.25" thickTop="1" thickBot="1">
      <c r="A19" s="796" t="str">
        <f>Datos!A19</f>
        <v>TOTAL JURISDICCIONES</v>
      </c>
      <c r="B19" s="797">
        <f>Datos!AP19</f>
        <v>2</v>
      </c>
      <c r="C19" s="797">
        <f>Datos!AR19</f>
        <v>2</v>
      </c>
      <c r="D19" s="797">
        <f>SUBTOTAL(9,D8:D18)</f>
        <v>301</v>
      </c>
      <c r="E19" s="798">
        <f>IF(ISNUMBER(D19/B19),D19/B19," - ")</f>
        <v>150.5</v>
      </c>
      <c r="F19" s="797">
        <f>SUBTOTAL(9,F8:F18)</f>
        <v>1283</v>
      </c>
      <c r="G19" s="798">
        <f>IF(ISNUMBER(F19/B19),F19/B19," - ")</f>
        <v>641.5</v>
      </c>
      <c r="H19" s="797">
        <f>SUBTOTAL(9,H8:H18)</f>
        <v>275</v>
      </c>
      <c r="I19" s="798">
        <f>IF(ISNUMBER(H19/B19),H19/B19," - ")</f>
        <v>137.5</v>
      </c>
    </row>
    <row r="22" spans="1:9">
      <c r="A22" s="394" t="str">
        <f>Criterios!A4</f>
        <v>Fecha Informe: 03 may. 2024</v>
      </c>
    </row>
    <row r="27" spans="1:9">
      <c r="A27" s="417"/>
    </row>
  </sheetData>
  <sheetProtection algorithmName="SHA-512" hashValue="CcNW96CRKvAA86dE0JnrfzJxrcAfyiaCwMCuhYhT96fQdbOoSxEFjpkBYsE4qGl0YkbN1vb9Q0ptOjQxKK4J1A==" saltValue="5AXBFVyrrJlQGw9HWVEH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ORGIVA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169</v>
      </c>
      <c r="C12" s="437">
        <f>IF(ISNUMBER(Datos!Q12),Datos!Q12," - ")</f>
        <v>67</v>
      </c>
      <c r="D12" s="411">
        <f>IF(ISNUMBER(Datos!R12),Datos!R12," - ")</f>
        <v>639</v>
      </c>
    </row>
    <row r="13" spans="1:4" ht="14.25" thickTop="1" thickBot="1">
      <c r="A13" s="851" t="str">
        <f>Datos!A13</f>
        <v>TOTAL</v>
      </c>
      <c r="B13" s="852">
        <f>SUBTOTAL(9,B9:B12)</f>
        <v>169</v>
      </c>
      <c r="C13" s="856">
        <f>SUBTOTAL(9,C9:C12)</f>
        <v>67</v>
      </c>
      <c r="D13" s="854">
        <f>SUBTOTAL(9,D9:D12)</f>
        <v>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37</v>
      </c>
      <c r="D16" s="411">
        <f>IF(ISNUMBER(Datos!R16),Datos!R16," - ")</f>
        <v>33</v>
      </c>
    </row>
    <row r="17" spans="1:4" ht="13.5" thickBot="1">
      <c r="A17" s="405" t="str">
        <f>Datos!A17</f>
        <v>Jdos. Violencia contra la mujer</v>
      </c>
      <c r="B17" s="436">
        <f>IF(ISNUMBER(Datos!P17),Datos!P17," - ")</f>
        <v>2</v>
      </c>
      <c r="C17" s="437">
        <f>IF(ISNUMBER(Datos!Q17),Datos!Q17," - ")</f>
        <v>2</v>
      </c>
      <c r="D17" s="411">
        <f>IF(ISNUMBER(Datos!R17),Datos!R17," - ")</f>
        <v>1</v>
      </c>
    </row>
    <row r="18" spans="1:4" ht="14.25" thickTop="1" thickBot="1">
      <c r="A18" s="851" t="str">
        <f>Datos!A18</f>
        <v>TOTAL</v>
      </c>
      <c r="B18" s="852">
        <f>SUBTOTAL(9,B15:B17)</f>
        <v>27</v>
      </c>
      <c r="C18" s="856">
        <f>SUBTOTAL(9,C15:C17)</f>
        <v>39</v>
      </c>
      <c r="D18" s="854">
        <f>SUBTOTAL(9,D15:D17)</f>
        <v>34</v>
      </c>
    </row>
    <row r="19" spans="1:4" ht="16.5" customHeight="1" thickTop="1" thickBot="1">
      <c r="A19" s="796" t="str">
        <f>Datos!A19</f>
        <v>TOTAL JURISDICCIONES</v>
      </c>
      <c r="B19" s="801">
        <f>SUBTOTAL(9,B8:B18)</f>
        <v>196</v>
      </c>
      <c r="C19" s="802">
        <f>SUBTOTAL(9,C8:C18)</f>
        <v>106</v>
      </c>
      <c r="D19" s="803">
        <f>SUBTOTAL(9,D8:D18)</f>
        <v>674</v>
      </c>
    </row>
    <row r="20" spans="1:4" ht="7.5" customHeight="1"/>
    <row r="21" spans="1:4" ht="6" customHeight="1"/>
    <row r="22" spans="1:4">
      <c r="A22" s="394" t="str">
        <f>Criterios!A4</f>
        <v>Fecha Informe: 03 may. 2024</v>
      </c>
    </row>
    <row r="27" spans="1:4">
      <c r="A27" s="417"/>
    </row>
  </sheetData>
  <sheetProtection algorithmName="SHA-512" hashValue="UjO/5+dyIZvs6VwV/XyCewPMPXESFN0B34c+QSMybItiO76VwPPsn4phZoRLppJCwJ3WVO3LUcrA5x1Z43B74A==" saltValue="HmJ5jWhbWGPjgSF10Qrt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ORGIVA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0.66666666666666663</v>
      </c>
      <c r="D10" s="459">
        <f>IF(ISNUMBER((Datos!K10-Datos!U10)/Datos!U10),(Datos!K10-Datos!U10)/Datos!U10," - ")</f>
        <v>-0.7142857142857143</v>
      </c>
      <c r="E10" s="459" t="str">
        <f>IF(ISNUMBER((Datos!L10-Datos!V10)/Datos!V10),(Datos!L10-Datos!V10)/Datos!V10," - ")</f>
        <v xml:space="preserve"> - </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-0.82857142857142863</v>
      </c>
      <c r="I10" s="459" t="str">
        <f>IF(ISNUMBER(((NºAsuntos!I10/NºAsuntos!G10)-Datos!BE10)/Datos!BE10),((NºAsuntos!I10/NºAsuntos!G10)-Datos!BE10)/Datos!BE10," - ")</f>
        <v xml:space="preserve"> - </v>
      </c>
      <c r="J10" s="464">
        <f>IF(ISNUMBER((('Resol  Asuntos'!D10/NºAsuntos!G10)-Datos!BF10)/Datos!BF10),(('Resol  Asuntos'!D10/NºAsuntos!G10)-Datos!BF10)/Datos!BF10," - ")</f>
        <v>1.3333333333333333</v>
      </c>
      <c r="K10" s="465">
        <f>IF(ISNUMBER((((NºAsuntos!C10+NºAsuntos!E10)/NºAsuntos!G10)-Datos!BG10)/Datos!BG10),(((NºAsuntos!C10+NºAsuntos!E10)/NºAsuntos!G10)-Datos!BG10)/Datos!BG10," - ")</f>
        <v>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0.22779922779922779</v>
      </c>
      <c r="C12" s="459">
        <f>IF(ISNUMBER(
   IF(J_V="SI",(Datos!J12-Datos!T12)/Datos!T12,(Datos!J12+Datos!Z12-(Datos!T12+Datos!AH12))/(Datos!T12+Datos!AH12))
     ),IF(J_V="SI",(Datos!J12-Datos!T12)/Datos!T12,(Datos!J12+Datos!Z12-(Datos!T12+Datos!AH12))/(Datos!T12+Datos!AH12))," - ")</f>
        <v>-3.6982248520710061E-2</v>
      </c>
      <c r="D12" s="459">
        <f>IF(ISNUMBER(
   IF(J_V="SI",(Datos!K12-Datos!U12)/Datos!U12,(Datos!K12+Datos!AA12-(Datos!U12+Datos!AI12))/(Datos!U12+Datos!AI12))
     ),IF(J_V="SI",(Datos!K12-Datos!U12)/Datos!U12,(Datos!K12+Datos!AA12-(Datos!U12+Datos!AI12))/(Datos!U12+Datos!AI12))," - ")</f>
        <v>-7.7669902912621352E-2</v>
      </c>
      <c r="E12" s="459">
        <f>IF(ISNUMBER(
   IF(J_V="SI",(Datos!L12-Datos!V12)/Datos!V12,(Datos!L12+Datos!AB12-(Datos!V12+Datos!AJ12))/(Datos!V12+Datos!AJ12))
     ),IF(J_V="SI",(Datos!L12-Datos!V12)/Datos!V12,(Datos!L12+Datos!AB12-(Datos!V12+Datos!AJ12))/(Datos!V12+Datos!AJ12))," - ")</f>
        <v>0.25471698113207547</v>
      </c>
      <c r="F12" s="459">
        <f>IF(ISNUMBER((Datos!M12-Datos!W12)/Datos!W12),(Datos!M12-Datos!W12)/Datos!W12," - ")</f>
        <v>-6.4516129032258063E-2</v>
      </c>
      <c r="G12" s="460">
        <f>IF(ISNUMBER((Datos!N12-Datos!X12)/Datos!X12),(Datos!N12-Datos!X12)/Datos!X12," - ")</f>
        <v>-4.2553191489361701E-2</v>
      </c>
      <c r="H12" s="458">
        <f>IF(ISNUMBER(((NºAsuntos!G12/NºAsuntos!E12)-Datos!BD12)/Datos!BD12),((NºAsuntos!G12/NºAsuntos!E12)-Datos!BD12)/Datos!BD12," - ")</f>
        <v>-4.2250160320940179E-2</v>
      </c>
      <c r="I12" s="459">
        <f>IF(ISNUMBER(((NºAsuntos!I12/NºAsuntos!G12)-Datos!BE12)/Datos!BE12),((NºAsuntos!I12/NºAsuntos!G12)-Datos!BE12)/Datos!BE12," - ")</f>
        <v>0.36037735849056596</v>
      </c>
      <c r="J12" s="464">
        <f>IF(ISNUMBER((('Resol  Asuntos'!D12/NºAsuntos!G12)-Datos!BF12)/Datos!BF12),(('Resol  Asuntos'!D12/NºAsuntos!G12)-Datos!BF12)/Datos!BF12," - ")</f>
        <v>-0.3310190369540873</v>
      </c>
      <c r="K12" s="465">
        <f>IF(ISNUMBER((((NºAsuntos!C12+NºAsuntos!E12)/NºAsuntos!G12)-Datos!BG12)/Datos!BG12),(((NºAsuntos!C12+NºAsuntos!E12)/NºAsuntos!G12)-Datos!BG12)/Datos!BG12," - ")</f>
        <v>0.12363636363636356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0.20912547528517111</v>
      </c>
      <c r="C13" s="858">
        <f>IF(ISNUMBER(
   IF(J_V="SI",(Datos!J13-Datos!T13)/Datos!T13,(Datos!J13+Datos!Z13-(Datos!T13+Datos!AH13))/(Datos!T13+Datos!AH13))
     ),IF(J_V="SI",(Datos!J13-Datos!T13)/Datos!T13,(Datos!J13+Datos!Z13-(Datos!T13+Datos!AH13))/(Datos!T13+Datos!AH13))," - ")</f>
        <v>-3.3873343151693665E-2</v>
      </c>
      <c r="D13" s="858">
        <f>IF(ISNUMBER(
   IF(J_V="SI",(Datos!K13-Datos!U13)/Datos!U13,(Datos!K13+Datos!AA13-(Datos!U13+Datos!AI13))/(Datos!U13+Datos!AI13))
     ),IF(J_V="SI",(Datos!K13-Datos!U13)/Datos!U13,(Datos!K13+Datos!AA13-(Datos!U13+Datos!AI13))/(Datos!U13+Datos!AI13))," - ")</f>
        <v>-8.48E-2</v>
      </c>
      <c r="E13" s="858">
        <f>IF(ISNUMBER(
   IF(J_V="SI",(Datos!L13-Datos!V13)/Datos!V13,(Datos!L13+Datos!AB13-(Datos!V13+Datos!AJ13))/(Datos!V13+Datos!AJ13))
     ),IF(J_V="SI",(Datos!L13-Datos!V13)/Datos!V13,(Datos!L13+Datos!AB13-(Datos!V13+Datos!AJ13))/(Datos!V13+Datos!AJ13))," - ")</f>
        <v>0.26415094339622641</v>
      </c>
      <c r="F13" s="859">
        <f>IF(ISNUMBER((Datos!M13-Datos!W13)/Datos!W13),(Datos!M13-Datos!W13)/Datos!W13," - ")</f>
        <v>-6.9620253164556958E-2</v>
      </c>
      <c r="G13" s="860">
        <f>IF(ISNUMBER((Datos!N13-Datos!X13)/Datos!X13),(Datos!N13-Datos!X13)/Datos!X13," - ")</f>
        <v>-4.2553191489361701E-2</v>
      </c>
      <c r="H13" s="860">
        <f>IF(ISNUMBER(((NºAsuntos!G13/NºAsuntos!E13)-Datos!BD13)/Datos!BD13),((NºAsuntos!G13/NºAsuntos!E13)-Datos!BD13)/Datos!BD13," - ")</f>
        <v>-5.2712195121951168E-2</v>
      </c>
      <c r="I13" s="860">
        <f>IF(ISNUMBER(((NºAsuntos!I13/NºAsuntos!G13)-Datos!BE13)/Datos!BE13),((NºAsuntos!I13/NºAsuntos!G13)-Datos!BE13)/Datos!BE13," - ")</f>
        <v>0.38128381052909349</v>
      </c>
      <c r="J13" s="860">
        <f>IF(ISNUMBER((('Resol  Asuntos'!D13/NºAsuntos!G13)-Datos!BF13)/Datos!BF13),(('Resol  Asuntos'!D13/NºAsuntos!G13)-Datos!BF13)/Datos!BF13," - ")</f>
        <v>-0.32512340600575901</v>
      </c>
      <c r="K13" s="860">
        <f>IF(ISNUMBER((((NºAsuntos!C13+NºAsuntos!E13)/NºAsuntos!G13)-Datos!BG13)/Datos!BG13),(((NºAsuntos!C13+NºAsuntos!E13)/NºAsuntos!G13)-Datos!BG13)/Datos!BG13," - ")</f>
        <v>0.1297752141701185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-0.12307692307692308</v>
      </c>
      <c r="C16" s="459">
        <f>IF(ISNUMBER(
   IF(D_I="SI",(Datos!J16-Datos!T16)/Datos!T16,(Datos!J16+Datos!AD16-(Datos!T16+Datos!AL16))/(Datos!T16+Datos!AL16))
     ),IF(D_I="SI",(Datos!J16-Datos!T16)/Datos!T16,(Datos!J16+Datos!AD16-(Datos!T16+Datos!AL16))/(Datos!T16+Datos!AL16))," - ")</f>
        <v>-9.7845078625509604E-2</v>
      </c>
      <c r="D16" s="459">
        <f>IF(ISNUMBER(
   IF(D_I="SI",(Datos!K16-Datos!U16)/Datos!U16,(Datos!K16+Datos!AE16-(Datos!U16+Datos!AM16))/(Datos!U16+Datos!AM16))
     ),IF(D_I="SI",(Datos!K16-Datos!U16)/Datos!U16,(Datos!K16+Datos!AE16-(Datos!U16+Datos!AM16))/(Datos!U16+Datos!AM16))," - ")</f>
        <v>-0.20660216277746157</v>
      </c>
      <c r="E16" s="459">
        <f>IF(ISNUMBER(
   IF(D_I="SI",(Datos!L16-Datos!V16)/Datos!V16,(Datos!L16+Datos!AF16-(Datos!V16+Datos!AN16))/(Datos!V16+Datos!AN16))
     ),IF(D_I="SI",(Datos!L16-Datos!V16)/Datos!V16,(Datos!L16+Datos!AF16-(Datos!V16+Datos!AN16))/(Datos!V16+Datos!AN16))," - ")</f>
        <v>1.0760233918128654</v>
      </c>
      <c r="F16" s="459">
        <f>IF(ISNUMBER((Datos!M16-Datos!W16)/Datos!W16),(Datos!M16-Datos!W16)/Datos!W16," - ")</f>
        <v>-0.13725490196078433</v>
      </c>
      <c r="G16" s="460">
        <f>IF(ISNUMBER((Datos!N16-Datos!X16)/Datos!X16),(Datos!N16-Datos!X16)/Datos!X16," - ")</f>
        <v>-0.16832504145936983</v>
      </c>
      <c r="H16" s="458">
        <f>IF(ISNUMBER(((NºAsuntos!G16/NºAsuntos!E16)-Datos!BD16)/Datos!BD16),((NºAsuntos!G16/NºAsuntos!E16)-Datos!BD16)/Datos!BD16," - ")</f>
        <v>-0.12055255874041421</v>
      </c>
      <c r="I16" s="459">
        <f>IF(ISNUMBER(((NºAsuntos!I16/NºAsuntos!G16)-Datos!BE16)/Datos!BE16),((NºAsuntos!I16/NºAsuntos!G16)-Datos!BE16)/Datos!BE16," - ")</f>
        <v>1.6166234572562441</v>
      </c>
      <c r="J16" s="464">
        <f>IF(ISNUMBER((('Resol  Asuntos'!D16/NºAsuntos!G16)-Datos!BF16)/Datos!BF16),(('Resol  Asuntos'!D16/NºAsuntos!G16)-Datos!BF16)/Datos!BF16," - ")</f>
        <v>8.7405406926041623E-2</v>
      </c>
      <c r="K16" s="465">
        <f>IF(ISNUMBER((((NºAsuntos!C16+NºAsuntos!E16)/NºAsuntos!G16)-Datos!BG16)/Datos!BG16),(((NºAsuntos!C16+NºAsuntos!E16)/NºAsuntos!G16)-Datos!BG16)/Datos!BG16," - ")</f>
        <v>0.13383418476074985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-0.53846153846153844</v>
      </c>
      <c r="C17" s="459">
        <f>IF(ISNUMBER(
   IF(D_I="SI",(Datos!J17-Datos!T17)/Datos!T17,(Datos!J17+Datos!AD17-(Datos!T17+Datos!AL17))/(Datos!T17+Datos!AL17))
     ),IF(D_I="SI",(Datos!J17-Datos!T17)/Datos!T17,(Datos!J17+Datos!AD17-(Datos!T17+Datos!AL17))/(Datos!T17+Datos!AL17))," - ")</f>
        <v>0.65</v>
      </c>
      <c r="D17" s="459">
        <f>IF(ISNUMBER(
   IF(D_I="SI",(Datos!K17-Datos!U17)/Datos!U17,(Datos!K17+Datos!AE17-(Datos!U17+Datos!AM17))/(Datos!U17+Datos!AM17))
     ),IF(D_I="SI",(Datos!K17-Datos!U17)/Datos!U17,(Datos!K17+Datos!AE17-(Datos!U17+Datos!AM17))/(Datos!U17+Datos!AM17))," - ")</f>
        <v>0.41379310344827586</v>
      </c>
      <c r="E17" s="459">
        <f>IF(ISNUMBER(
   IF(D_I="SI",(Datos!L17-Datos!V17)/Datos!V17,(Datos!L17+Datos!AF17-(Datos!V17+Datos!AN17))/(Datos!V17+Datos!AN17))
     ),IF(D_I="SI",(Datos!L17-Datos!V17)/Datos!V17,(Datos!L17+Datos!AF17-(Datos!V17+Datos!AN17))/(Datos!V17+Datos!AN17))," - ")</f>
        <v>1.5</v>
      </c>
      <c r="F17" s="459">
        <f>IF(ISNUMBER((Datos!M17-Datos!W17)/Datos!W17),(Datos!M17-Datos!W17)/Datos!W17," - ")</f>
        <v>1</v>
      </c>
      <c r="G17" s="460">
        <f>IF(ISNUMBER((Datos!N17-Datos!X17)/Datos!X17),(Datos!N17-Datos!X17)/Datos!X17," - ")</f>
        <v>0.25</v>
      </c>
      <c r="H17" s="458">
        <f>IF(ISNUMBER(((NºAsuntos!G17/NºAsuntos!E17)-Datos!BD17)/Datos!BD17),((NºAsuntos!G17/NºAsuntos!E17)-Datos!BD17)/Datos!BD17," - ")</f>
        <v>-0.14315569487983279</v>
      </c>
      <c r="I17" s="459">
        <f>IF(ISNUMBER(((NºAsuntos!I17/NºAsuntos!G17)-Datos!BE17)/Datos!BE17),((NºAsuntos!I17/NºAsuntos!G17)-Datos!BE17)/Datos!BE17," - ")</f>
        <v>0.76829268292682928</v>
      </c>
      <c r="J17" s="464">
        <f>IF(ISNUMBER((('Resol  Asuntos'!D17/NºAsuntos!G17)-Datos!BF17)/Datos!BF17),(('Resol  Asuntos'!D17/NºAsuntos!G17)-Datos!BF17)/Datos!BF17," - ")</f>
        <v>0.41463414634146328</v>
      </c>
      <c r="K17" s="465">
        <f>IF(ISNUMBER((((NºAsuntos!C17+NºAsuntos!E17)/NºAsuntos!G17)-Datos!BG17)/Datos!BG17),(((NºAsuntos!C17+NºAsuntos!E17)/NºAsuntos!G17)-Datos!BG17)/Datos!BG17," - ")</f>
        <v>4.9567269866247231E-2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-0.14903846153846154</v>
      </c>
      <c r="C18" s="858">
        <f>IF(ISNUMBER(
   IF(Criterios!B14="SI",(Datos!J18-Datos!T18)/Datos!T18,(Datos!J18+Datos!AD18-(Datos!T18+Datos!AL18))/(Datos!T18+Datos!AL18))
     ),IF(Criterios!B14="SI",(Datos!J18-Datos!T18)/Datos!T18,(Datos!J18+Datos!AD18-(Datos!T18+Datos!AL18))/(Datos!T18+Datos!AL18))," - ")</f>
        <v>-6.4552031163049528E-2</v>
      </c>
      <c r="D18" s="858">
        <f>IF(ISNUMBER(
   IF(Criterios!B14="SI",(Datos!K18-Datos!U18)/Datos!U18,(Datos!K18+Datos!AE18-(Datos!U18+Datos!AM18))/(Datos!U18+Datos!AM18))
     ),IF(Criterios!B14="SI",(Datos!K18-Datos!U18)/Datos!U18,(Datos!K18+Datos!AE18-(Datos!U18+Datos!AM18))/(Datos!U18+Datos!AM18))," - ")</f>
        <v>-0.17733188720173534</v>
      </c>
      <c r="E18" s="858">
        <f>IF(ISNUMBER(
   IF(Criterios!B14="SI",(Datos!L18-Datos!V18)/Datos!V18,(Datos!L18+Datos!AF18-(Datos!V18+Datos!AN18))/(Datos!V18+Datos!AN18))
     ),IF(Criterios!B14="SI",(Datos!L18-Datos!V18)/Datos!V18,(Datos!L18+Datos!AF18-(Datos!V18+Datos!AN18))/(Datos!V18+Datos!AN18))," - ")</f>
        <v>1.0903954802259888</v>
      </c>
      <c r="F18" s="859">
        <f>IF(ISNUMBER((Datos!M18-Datos!W18)/Datos!W18),(Datos!M18-Datos!W18)/Datos!W18," - ")</f>
        <v>-6.097560975609756E-2</v>
      </c>
      <c r="G18" s="860">
        <f>IF(ISNUMBER((Datos!N18-Datos!X18)/Datos!X18),(Datos!N18-Datos!X18)/Datos!X18," - ")</f>
        <v>-0.15359999999999999</v>
      </c>
      <c r="H18" s="860">
        <f>IF(ISNUMBER(((NºAsuntos!G18/NºAsuntos!E18)-Datos!BD18)/Datos!BD18),((NºAsuntos!G18/NºAsuntos!E18)-Datos!BD18)/Datos!BD18," - ")</f>
        <v>-0.12056240410560289</v>
      </c>
      <c r="I18" s="860">
        <f>IF(ISNUMBER(((NºAsuntos!I18/NºAsuntos!G18)-Datos!BE18)/Datos!BE18),((NºAsuntos!I18/NºAsuntos!G18)-Datos!BE18)/Datos!BE18," - ")</f>
        <v>1.5409949014744382</v>
      </c>
      <c r="J18" s="860">
        <f>IF(ISNUMBER((('Resol  Asuntos'!D18/NºAsuntos!G18)-Datos!BF18)/Datos!BF18),(('Resol  Asuntos'!D18/NºAsuntos!G18)-Datos!BF18)/Datos!BF18," - ")</f>
        <v>0.14143768992073572</v>
      </c>
      <c r="K18" s="860">
        <f>IF(ISNUMBER((((NºAsuntos!C18+NºAsuntos!E18)/NºAsuntos!G18)-Datos!BG18)/Datos!BG18),(((NºAsuntos!C18+NºAsuntos!E18)/NºAsuntos!G18)-Datos!BG18)/Datos!BG18," - ")</f>
        <v>0.12643638103160035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5.0955414012738856E-2</v>
      </c>
      <c r="C19" s="805">
        <f>IF(ISNUMBER(
   IF(J_V="SI",(Datos!J19-Datos!T19)/Datos!T19,(Datos!J19+Datos!Z19-(Datos!T19+Datos!AH19))/(Datos!T19+Datos!AH19))
     ),IF(J_V="SI",(Datos!J19-Datos!T19)/Datos!T19,(Datos!J19+Datos!Z19-(Datos!T19+Datos!AH19))/(Datos!T19+Datos!AH19))," - ")</f>
        <v>-5.6138933764135701E-2</v>
      </c>
      <c r="D19" s="805">
        <f>IF(ISNUMBER(
   IF(J_V="SI",(Datos!K19-Datos!U19)/Datos!U19,(Datos!K19+Datos!AA19-(Datos!U19+Datos!AI19))/(Datos!U19+Datos!AI19))
     ),IF(J_V="SI",(Datos!K19-Datos!U19)/Datos!U19,(Datos!K19+Datos!AA19-(Datos!U19+Datos!AI19))/(Datos!U19+Datos!AI19))," - ")</f>
        <v>-0.15390846496557312</v>
      </c>
      <c r="E19" s="805">
        <f>IF(ISNUMBER(
   IF(J_V="SI",(Datos!L19-Datos!V19)/Datos!V19,(Datos!L19+Datos!AB19-(Datos!V19+Datos!AJ19))/(Datos!V19+Datos!AJ19))
     ),IF(J_V="SI",(Datos!L19-Datos!V19)/Datos!V19,(Datos!L19+Datos!AB19-(Datos!V19+Datos!AJ19))/(Datos!V19+Datos!AJ19))," - ")</f>
        <v>0.55959595959595965</v>
      </c>
      <c r="F19" s="806">
        <f>IF(ISNUMBER((Datos!M19-Datos!W19)/Datos!W19),(Datos!M19-Datos!W19)/Datos!W19," - ")</f>
        <v>-6.5217391304347824E-2</v>
      </c>
      <c r="G19" s="807">
        <f>IF(ISNUMBER((Datos!N19-Datos!X19)/Datos!X19),(Datos!N19-Datos!X19)/Datos!X19," - ")</f>
        <v>-0.13602693602693602</v>
      </c>
      <c r="H19" s="808">
        <f>IF(ISNUMBER((Tasas!B19-Datos!BD19)/Datos!BD19),(Tasas!B19-Datos!BD19)/Datos!BD19," - ")</f>
        <v>-0.10358466378038474</v>
      </c>
      <c r="I19" s="809">
        <f>IF(ISNUMBER((Tasas!C19-Datos!BE19)/Datos!BE19),(Tasas!C19-Datos!BE19)/Datos!BE19," - ")</f>
        <v>0.84329460231805864</v>
      </c>
      <c r="J19" s="810">
        <f>IF(ISNUMBER((Tasas!D19-Datos!BF19)/Datos!BF19),(Tasas!D19-Datos!BF19)/Datos!BF19," - ")</f>
        <v>-0.11504111800975975</v>
      </c>
      <c r="K19" s="810">
        <f>IF(ISNUMBER((Tasas!E19-Datos!BG19)/Datos!BG19),(Tasas!E19-Datos!BG19)/Datos!BG19," - ")</f>
        <v>0.13578404371598898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vpwfIC1NdaeeZKT7JaryV5fN4kNgzKcKvk0dz4hcRXNPCZx6apz6mJDEjoG6wz+Wq4Nzf7roP/lH/zNGJ80qA==" saltValue="cZwclNYN7ezzui+YbKRR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ORGIVA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v>
      </c>
      <c r="C10" s="446">
        <f>IF(ISNUMBER(NºAsuntos!I10/NºAsuntos!G10),NºAsuntos!I10/NºAsuntos!G10," - ")</f>
        <v>1.5</v>
      </c>
      <c r="D10" s="447">
        <f>IF(ISNUMBER('Resol  Asuntos'!D10/NºAsuntos!G10),'Resol  Asuntos'!D10/NºAsuntos!G10," - ")</f>
        <v>1</v>
      </c>
      <c r="E10" s="448">
        <f>IF(ISNUMBER((NºAsuntos!C10+NºAsuntos!E10)/NºAsuntos!G10),(NºAsuntos!C10+NºAsuntos!E10)/NºAsuntos!G10," - ")</f>
        <v>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0.87557603686635943</v>
      </c>
      <c r="C12" s="446">
        <f>IF(ISNUMBER(NºAsuntos!I12/NºAsuntos!G12),NºAsuntos!I12/NºAsuntos!G12," - ")</f>
        <v>0.7</v>
      </c>
      <c r="D12" s="447">
        <f>IF(ISNUMBER('Resol  Asuntos'!D12/NºAsuntos!G12),'Resol  Asuntos'!D12/NºAsuntos!G12," - ")</f>
        <v>0.25438596491228072</v>
      </c>
      <c r="E12" s="448">
        <f>IF(ISNUMBER((NºAsuntos!C12+NºAsuntos!E12)/NºAsuntos!G12),(NºAsuntos!C12+NºAsuntos!E12)/NºAsuntos!G12," - ")</f>
        <v>1.7</v>
      </c>
      <c r="G12" s="466"/>
    </row>
    <row r="13" spans="1:7" ht="14.25" thickTop="1" thickBot="1">
      <c r="A13" s="851" t="str">
        <f>Datos!A13</f>
        <v>TOTAL</v>
      </c>
      <c r="B13" s="861">
        <f>IF(ISNUMBER(NºAsuntos!G13/NºAsuntos!E13),NºAsuntos!G13/NºAsuntos!E13," - ")</f>
        <v>0.87195121951219512</v>
      </c>
      <c r="C13" s="862">
        <f>IF(ISNUMBER(NºAsuntos!I13/NºAsuntos!G13),NºAsuntos!I13/NºAsuntos!G13," - ")</f>
        <v>0.70279720279720281</v>
      </c>
      <c r="D13" s="863">
        <f>IF(ISNUMBER('Resol  Asuntos'!D13/NºAsuntos!G13),'Resol  Asuntos'!D13/NºAsuntos!G13," - ")</f>
        <v>0.25699300699300698</v>
      </c>
      <c r="E13" s="864">
        <f>IF(ISNUMBER((NºAsuntos!C13+NºAsuntos!E13)/NºAsuntos!G13),(NºAsuntos!C13+NºAsuntos!E13)/NºAsuntos!G13," - ")</f>
        <v>1.7027972027972027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0.89993544222078758</v>
      </c>
      <c r="C16" s="446">
        <f>IF(ISNUMBER(NºAsuntos!I16/NºAsuntos!G16),NºAsuntos!I16/NºAsuntos!G16," - ")</f>
        <v>0.2546628407460545</v>
      </c>
      <c r="D16" s="447">
        <f>IF(ISNUMBER('Resol  Asuntos'!D16/NºAsuntos!G16),'Resol  Asuntos'!D16/NºAsuntos!G16," - ")</f>
        <v>9.4691535150645628E-2</v>
      </c>
      <c r="E16" s="448">
        <f>IF(ISNUMBER((NºAsuntos!C16+NºAsuntos!E16)/NºAsuntos!G16),(NºAsuntos!C16+NºAsuntos!E16)/NºAsuntos!G16," - ")</f>
        <v>1.2338593974175036</v>
      </c>
      <c r="G16" s="466"/>
    </row>
    <row r="17" spans="1:7" ht="13.5" thickBot="1">
      <c r="A17" s="405" t="str">
        <f>Datos!A17</f>
        <v>Jdos. Violencia contra la mujer</v>
      </c>
      <c r="B17" s="445">
        <f>IF(ISNUMBER(NºAsuntos!G17/NºAsuntos!E17),NºAsuntos!G17/NºAsuntos!E17," - ")</f>
        <v>0.93181818181818177</v>
      </c>
      <c r="C17" s="446">
        <f>IF(ISNUMBER(NºAsuntos!I17/NºAsuntos!G17),NºAsuntos!I17/NºAsuntos!G17," - ")</f>
        <v>0.12195121951219512</v>
      </c>
      <c r="D17" s="447">
        <f>IF(ISNUMBER('Resol  Asuntos'!D17/NºAsuntos!G17),'Resol  Asuntos'!D17/NºAsuntos!G17," - ")</f>
        <v>0.17886178861788618</v>
      </c>
      <c r="E17" s="448">
        <f>IF(ISNUMBER((NºAsuntos!C17+NºAsuntos!E17)/NºAsuntos!G17),(NºAsuntos!C17+NºAsuntos!E17)/NºAsuntos!G17," - ")</f>
        <v>1.1219512195121952</v>
      </c>
      <c r="G17" s="466"/>
    </row>
    <row r="18" spans="1:7" ht="14.25" thickTop="1" thickBot="1">
      <c r="A18" s="851" t="str">
        <f>Datos!A18</f>
        <v>TOTAL</v>
      </c>
      <c r="B18" s="861">
        <f>IF(ISNUMBER(NºAsuntos!G18/NºAsuntos!E18),NºAsuntos!G18/NºAsuntos!E18," - ")</f>
        <v>0.90243902439024393</v>
      </c>
      <c r="C18" s="862">
        <f>IF(ISNUMBER(NºAsuntos!I18/NºAsuntos!G18),NºAsuntos!I18/NºAsuntos!G18," - ")</f>
        <v>0.24390243902439024</v>
      </c>
      <c r="D18" s="865">
        <f>IF(ISNUMBER('Resol  Asuntos'!D18/NºAsuntos!G18),'Resol  Asuntos'!D18/NºAsuntos!G18," - ")</f>
        <v>0.1015161502966381</v>
      </c>
      <c r="E18" s="864">
        <f>IF(ISNUMBER((NºAsuntos!C18+NºAsuntos!E18)/NºAsuntos!G18),(NºAsuntos!C18+NºAsuntos!E18)/NºAsuntos!G18," - ")</f>
        <v>1.2247857613711273</v>
      </c>
      <c r="G18" s="466"/>
    </row>
    <row r="19" spans="1:7" ht="15.75" customHeight="1" thickTop="1" thickBot="1">
      <c r="A19" s="796" t="str">
        <f>Datos!A19</f>
        <v>TOTAL JURISDICCIONES</v>
      </c>
      <c r="B19" s="811">
        <f>IF(ISNUMBER(NºAsuntos!G19/NºAsuntos!E19),NºAsuntos!G19/NºAsuntos!E19," - ")</f>
        <v>0.89388104407359859</v>
      </c>
      <c r="C19" s="812">
        <f>IF(ISNUMBER(NºAsuntos!I19/NºAsuntos!G19),NºAsuntos!I19/NºAsuntos!G19," - ")</f>
        <v>0.36955481091431308</v>
      </c>
      <c r="D19" s="813">
        <f>IF(ISNUMBER('Resol  Asuntos'!D19/NºAsuntos!G19),'Resol  Asuntos'!D19/NºAsuntos!G19," - ")</f>
        <v>0.14408808042125418</v>
      </c>
      <c r="E19" s="814">
        <f>IF(ISNUMBER((NºAsuntos!C19+NºAsuntos!E19)/NºAsuntos!G19),(NºAsuntos!C19+NºAsuntos!E19)/NºAsuntos!G19," - ")</f>
        <v>1.3556725706079464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JFXP2lcz7VH7pJhuWaGRhRO296iXq4QR72+ZAqgBefJRhrWsl/JDoo1o1lDpZmO/9kkdYk9jAuSBuqcPdCLsQ==" saltValue="3ugbCqFXy7O3tUlFGTJQ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ORGIVA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v>
      </c>
      <c r="AB10" s="337">
        <f>IF(ISNUMBER(Datos!R10),Datos!R10," - ")</f>
        <v>1</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v>
      </c>
      <c r="AM10" s="263">
        <f>IF(ISNUMBER(((NºAsuntos!I10/NºAsuntos!G10)*11)/factor_trimestre),((NºAsuntos!I10/NºAsuntos!G10)*11)/factor_trimestre," - ")</f>
        <v>16.5</v>
      </c>
      <c r="AN10" s="247">
        <f>IF(ISNUMBER('Resol  Asuntos'!D10/NºAsuntos!G10),'Resol  Asuntos'!D10/NºAsuntos!G10," - ")</f>
        <v>1</v>
      </c>
      <c r="AO10" s="248">
        <f>IF(ISNUMBER((NºAsuntos!C10+NºAsuntos!E10)/NºAsuntos!G10),(NºAsuntos!C10+NºAsuntos!E10)/NºAsuntos!G10," - ")</f>
        <v>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v>
      </c>
      <c r="Y12" s="337">
        <f t="shared" si="0"/>
        <v>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145</v>
      </c>
      <c r="AJ12" s="232" t="str">
        <f>IF(ISNUMBER(Datos!BW12),Datos!BW12," - ")</f>
        <v xml:space="preserve"> - </v>
      </c>
      <c r="AK12" s="231" t="str">
        <f>IF(ISNUMBER(Datos!BX12),Datos!BX12," - ")</f>
        <v xml:space="preserve"> - </v>
      </c>
      <c r="AL12" s="246">
        <f>IF(ISNUMBER(NºAsuntos!G12/NºAsuntos!E12),NºAsuntos!G12/NºAsuntos!E12," - ")</f>
        <v>0.87557603686635943</v>
      </c>
      <c r="AM12" s="263">
        <f>IF(ISNUMBER(((NºAsuntos!I12/NºAsuntos!G12)*11)/factor_trimestre),((NºAsuntos!I12/NºAsuntos!G12)*11)/factor_trimestre," - ")</f>
        <v>7.6999999999999993</v>
      </c>
      <c r="AN12" s="247">
        <f>IF(ISNUMBER('Resol  Asuntos'!D12/NºAsuntos!G12),'Resol  Asuntos'!D12/NºAsuntos!G12," - ")</f>
        <v>0.25438596491228072</v>
      </c>
      <c r="AO12" s="248">
        <f>IF(ISNUMBER((NºAsuntos!C12+NºAsuntos!E12)/NºAsuntos!G12),(NºAsuntos!C12+NºAsuntos!E12)/NºAsuntos!G12," - ")</f>
        <v>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169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67</v>
      </c>
      <c r="Y13" s="871">
        <f t="shared" si="4"/>
        <v>69</v>
      </c>
      <c r="Z13" s="871">
        <f t="shared" si="4"/>
        <v>0</v>
      </c>
      <c r="AA13" s="871">
        <f t="shared" si="4"/>
        <v>3</v>
      </c>
      <c r="AB13" s="871">
        <f t="shared" si="4"/>
        <v>640</v>
      </c>
      <c r="AC13" s="871">
        <f t="shared" si="4"/>
        <v>4</v>
      </c>
      <c r="AD13" s="871">
        <f t="shared" si="4"/>
        <v>0</v>
      </c>
      <c r="AE13" s="875">
        <f t="shared" si="4"/>
        <v>0</v>
      </c>
      <c r="AF13" s="868">
        <f t="shared" si="4"/>
        <v>0</v>
      </c>
      <c r="AG13" s="876">
        <f t="shared" si="4"/>
        <v>0</v>
      </c>
      <c r="AH13" s="873">
        <f t="shared" si="4"/>
        <v>0</v>
      </c>
      <c r="AI13" s="868">
        <f t="shared" si="4"/>
        <v>147</v>
      </c>
      <c r="AJ13" s="870">
        <f t="shared" si="4"/>
        <v>0</v>
      </c>
      <c r="AK13" s="873">
        <f>SUBTOTAL(9,AK9:AK12)</f>
        <v>0</v>
      </c>
      <c r="AL13" s="877">
        <f>IF(ISNUMBER(NºAsuntos!G13/NºAsuntos!E13),NºAsuntos!G13/NºAsuntos!E13," - ")</f>
        <v>0.87195121951219512</v>
      </c>
      <c r="AM13" s="877">
        <f>IF(ISNUMBER(((NºAsuntos!I13/NºAsuntos!G13)*11)/factor_trimestre),((NºAsuntos!I13/NºAsuntos!G13)*11)/factor_trimestre," - ")</f>
        <v>7.7307692307692308</v>
      </c>
      <c r="AN13" s="878">
        <f>IF(ISNUMBER('Resol  Asuntos'!D13/NºAsuntos!G13),'Resol  Asuntos'!D13/NºAsuntos!G13," - ")</f>
        <v>0.25699300699300698</v>
      </c>
      <c r="AO13" s="879">
        <f>IF(ISNUMBER((NºAsuntos!C13+NºAsuntos!E13)/NºAsuntos!G13),(NºAsuntos!C13+NºAsuntos!E13)/NºAsuntos!G13," - ")</f>
        <v>1.7027972027972027</v>
      </c>
      <c r="AP13" s="880" t="str">
        <f t="shared" si="2"/>
        <v xml:space="preserve"> - </v>
      </c>
      <c r="AQ13" s="880" t="str">
        <f>IF(ISNUMBER((H13-W13+K13)/(F13)),(H13-W13+K13)/(F13)," - ")</f>
        <v xml:space="preserve"> - </v>
      </c>
      <c r="AR13" s="881">
        <f>IF(ISNUMBER((Datos!P13-Datos!Q13)/(Datos!R13-Datos!P13+Datos!Q13)),(Datos!P13-Datos!Q13)/(Datos!R13-Datos!P13+Datos!Q13)," - ")</f>
        <v>0.1895910780669145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200</v>
      </c>
      <c r="G16" s="336">
        <f>IF(ISNUMBER(IF(D_I="SI",Datos!I16,Datos!I16+Datos!AC16)),IF(D_I="SI",Datos!I16,Datos!I16+Datos!AC16)," - ")</f>
        <v>171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1394</v>
      </c>
      <c r="X16" s="229">
        <f>IF(ISNUMBER(Datos!Q16),Datos!Q16," - ")</f>
        <v>37</v>
      </c>
      <c r="Y16" s="337">
        <f t="shared" ref="Y16:Y17" si="7">SUM(W16:X16)</f>
        <v>1431</v>
      </c>
      <c r="Z16" s="338" t="str">
        <f>IF(ISNUMBER(Datos!CC16),Datos!CC16," - ")</f>
        <v xml:space="preserve"> - </v>
      </c>
      <c r="AA16" s="335">
        <f>IF(ISNUMBER(IF(D_I="SI",Datos!L16,Datos!L16+Datos!AF16)),IF(D_I="SI",Datos!L16,Datos!L16+Datos!AF16)," - ")</f>
        <v>355</v>
      </c>
      <c r="AB16" s="337">
        <f>IF(ISNUMBER(Datos!R16),Datos!R16," - ")</f>
        <v>33</v>
      </c>
      <c r="AC16" s="337">
        <f t="shared" si="6"/>
        <v>388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132</v>
      </c>
      <c r="AJ16" s="234" t="str">
        <f>IF(ISNUMBER(Datos!BW16),Datos!BW16," - ")</f>
        <v xml:space="preserve"> - </v>
      </c>
      <c r="AK16" s="235" t="str">
        <f>IF(ISNUMBER(Datos!BX16),Datos!BX16," - ")</f>
        <v xml:space="preserve"> - </v>
      </c>
      <c r="AL16" s="246">
        <f>IF(ISNUMBER(NºAsuntos!G16/NºAsuntos!E16),NºAsuntos!G16/NºAsuntos!E16," - ")</f>
        <v>0.89993544222078758</v>
      </c>
      <c r="AM16" s="263">
        <f>IF(ISNUMBER(((NºAsuntos!I16/NºAsuntos!G16)*11)/factor_trimestre),((NºAsuntos!I16/NºAsuntos!G16)*11)/factor_trimestre," - ")</f>
        <v>2.8012912482065992</v>
      </c>
      <c r="AN16" s="247">
        <f>IF(ISNUMBER('Resol  Asuntos'!D16/NºAsuntos!G16),'Resol  Asuntos'!D16/NºAsuntos!G16," - ")</f>
        <v>9.4691535150645628E-2</v>
      </c>
      <c r="AO16" s="248">
        <f>IF(ISNUMBER((NºAsuntos!C16+NºAsuntos!E16)/NºAsuntos!G16),(NºAsuntos!C16+NºAsuntos!E16)/NºAsuntos!G16," - ")</f>
        <v>1.2338593974175036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123</v>
      </c>
      <c r="X17" s="229">
        <f>IF(ISNUMBER(Datos!Q17),Datos!Q17," - ")</f>
        <v>2</v>
      </c>
      <c r="Y17" s="337">
        <f t="shared" si="7"/>
        <v>125</v>
      </c>
      <c r="Z17" s="338" t="str">
        <f>IF(ISNUMBER(Datos!CC17),Datos!CC17," - ")</f>
        <v xml:space="preserve"> - </v>
      </c>
      <c r="AA17" s="335">
        <f>IF(ISNUMBER(Datos!L17),Datos!L17,"-")</f>
        <v>15</v>
      </c>
      <c r="AB17" s="337">
        <f>IF(ISNUMBER(Datos!R17),Datos!R17," - ")</f>
        <v>1</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0.93181818181818177</v>
      </c>
      <c r="AM17" s="263">
        <f>IF(ISNUMBER(((NºAsuntos!I17/NºAsuntos!G17)*11)/factor_trimestre),((NºAsuntos!I17/NºAsuntos!G17)*11)/factor_trimestre," - ")</f>
        <v>1.3414634146341462</v>
      </c>
      <c r="AN17" s="247">
        <f>IF(ISNUMBER('Resol  Asuntos'!D17/NºAsuntos!G17),'Resol  Asuntos'!D17/NºAsuntos!G17," - ")</f>
        <v>0.17886178861788618</v>
      </c>
      <c r="AO17" s="248">
        <f>IF(ISNUMBER((NºAsuntos!C17+NºAsuntos!E17)/NºAsuntos!G17),(NºAsuntos!C17+NºAsuntos!E17)/NºAsuntos!G17," - ")</f>
        <v>1.1219512195121952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200</v>
      </c>
      <c r="G18" s="869">
        <f>SUBTOTAL(9,G15:G17)</f>
        <v>177</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1517</v>
      </c>
      <c r="X18" s="870">
        <f t="shared" si="11"/>
        <v>39</v>
      </c>
      <c r="Y18" s="871">
        <f t="shared" si="11"/>
        <v>1556</v>
      </c>
      <c r="Z18" s="871">
        <f t="shared" si="11"/>
        <v>0</v>
      </c>
      <c r="AA18" s="871">
        <f t="shared" si="11"/>
        <v>370</v>
      </c>
      <c r="AB18" s="871">
        <f t="shared" si="11"/>
        <v>34</v>
      </c>
      <c r="AC18" s="871">
        <f t="shared" si="11"/>
        <v>404</v>
      </c>
      <c r="AD18" s="871">
        <f t="shared" si="11"/>
        <v>0</v>
      </c>
      <c r="AE18" s="875">
        <f t="shared" si="11"/>
        <v>0</v>
      </c>
      <c r="AF18" s="868">
        <f t="shared" si="11"/>
        <v>0</v>
      </c>
      <c r="AG18" s="876">
        <f t="shared" si="11"/>
        <v>0</v>
      </c>
      <c r="AH18" s="873">
        <f t="shared" si="11"/>
        <v>0</v>
      </c>
      <c r="AI18" s="868">
        <f t="shared" si="11"/>
        <v>154</v>
      </c>
      <c r="AJ18" s="870">
        <f t="shared" si="11"/>
        <v>0</v>
      </c>
      <c r="AK18" s="873">
        <f t="shared" si="11"/>
        <v>0</v>
      </c>
      <c r="AL18" s="877">
        <f>IF(ISNUMBER(NºAsuntos!G18/NºAsuntos!E18),NºAsuntos!G18/NºAsuntos!E18," - ")</f>
        <v>0.90243902439024393</v>
      </c>
      <c r="AM18" s="877">
        <f>IF(ISNUMBER(((NºAsuntos!I18/NºAsuntos!G18)*11)/factor_trimestre),((NºAsuntos!I18/NºAsuntos!G18)*11)/factor_trimestre," - ")</f>
        <v>2.6829268292682924</v>
      </c>
      <c r="AN18" s="878">
        <f>IF(ISNUMBER('Resol  Asuntos'!D18/NºAsuntos!G18),'Resol  Asuntos'!D18/NºAsuntos!G18," - ")</f>
        <v>0.1015161502966381</v>
      </c>
      <c r="AO18" s="879">
        <f>IF(ISNUMBER((NºAsuntos!C18+NºAsuntos!E18)/NºAsuntos!G18),(NºAsuntos!C18+NºAsuntos!E18)/NºAsuntos!G18," - ")</f>
        <v>1.2247857613711273</v>
      </c>
      <c r="AP18" s="880" t="str">
        <f t="shared" si="2"/>
        <v xml:space="preserve"> - </v>
      </c>
      <c r="AQ18" s="880">
        <f>IF(ISNUMBER((H18-W18+K18)/(F18)),(H18-W18+K18)/(F18)," - ")</f>
        <v>-7.585</v>
      </c>
      <c r="AR18" s="881">
        <f>IF(ISNUMBER((Datos!P18-Datos!Q18)/(Datos!R18-Datos!P18+Datos!Q18)),(Datos!P18-Datos!Q18)/(Datos!R18-Datos!P18+Datos!Q18)," - ")</f>
        <v>-0.2608695652173913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200</v>
      </c>
      <c r="G19" s="824">
        <f t="shared" si="13"/>
        <v>177</v>
      </c>
      <c r="H19" s="823">
        <f t="shared" si="13"/>
        <v>0</v>
      </c>
      <c r="I19" s="825">
        <f t="shared" si="13"/>
        <v>0</v>
      </c>
      <c r="J19" s="825">
        <f t="shared" si="13"/>
        <v>0</v>
      </c>
      <c r="K19" s="884">
        <f t="shared" si="13"/>
        <v>0</v>
      </c>
      <c r="L19" s="825">
        <f t="shared" si="13"/>
        <v>196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1519</v>
      </c>
      <c r="X19" s="824">
        <f t="shared" si="14"/>
        <v>106</v>
      </c>
      <c r="Y19" s="831">
        <f t="shared" si="14"/>
        <v>1625</v>
      </c>
      <c r="Z19" s="831">
        <f t="shared" si="14"/>
        <v>0</v>
      </c>
      <c r="AA19" s="831">
        <f t="shared" si="14"/>
        <v>373</v>
      </c>
      <c r="AB19" s="831">
        <f t="shared" si="14"/>
        <v>674</v>
      </c>
      <c r="AC19" s="831">
        <f t="shared" si="14"/>
        <v>408</v>
      </c>
      <c r="AD19" s="831">
        <f t="shared" si="14"/>
        <v>0</v>
      </c>
      <c r="AE19" s="833">
        <f t="shared" si="14"/>
        <v>0</v>
      </c>
      <c r="AF19" s="834">
        <f t="shared" si="14"/>
        <v>0</v>
      </c>
      <c r="AG19" s="835">
        <f t="shared" si="14"/>
        <v>0</v>
      </c>
      <c r="AH19" s="833">
        <f t="shared" si="14"/>
        <v>0</v>
      </c>
      <c r="AI19" s="823">
        <f t="shared" si="14"/>
        <v>301</v>
      </c>
      <c r="AJ19" s="823">
        <f t="shared" si="14"/>
        <v>0</v>
      </c>
      <c r="AK19" s="833">
        <f t="shared" si="14"/>
        <v>0</v>
      </c>
      <c r="AL19" s="887">
        <f>IF(ISNUMBER(NºAsuntos!G19/NºAsuntos!E19),NºAsuntos!G19/NºAsuntos!E19," - ")</f>
        <v>0.89388104407359859</v>
      </c>
      <c r="AM19" s="888">
        <f>IF(ISNUMBER(((NºAsuntos!I19/NºAsuntos!G19)*11)/factor_trimestre),((NºAsuntos!I19/NºAsuntos!G19)*11)/factor_trimestre," - ")</f>
        <v>4.065102920057444</v>
      </c>
      <c r="AN19" s="888">
        <f>IF(ISNUMBER('Resol  Asuntos'!D19/NºAsuntos!G19),'Resol  Asuntos'!D19/NºAsuntos!G19," - ")</f>
        <v>0.14408808042125418</v>
      </c>
      <c r="AO19" s="889">
        <f>IF(ISNUMBER((NºAsuntos!C19+NºAsuntos!E19)/NºAsuntos!G19),(NºAsuntos!C19+NºAsuntos!E19)/NºAsuntos!G19," - ")</f>
        <v>1.3556725706079464</v>
      </c>
      <c r="AP19" s="890" t="str">
        <f t="shared" si="2"/>
        <v xml:space="preserve"> - </v>
      </c>
      <c r="AQ19" s="891">
        <f>IF(OR(ISNUMBER(FIND("01",Criterios!A8,1)),ISNUMBER(FIND("02",Criterios!A8,1)),ISNUMBER(FIND("03",Criterios!A8,1)),ISNUMBER(FIND("04",Criterios!A8,1))),(I19-W19+K19)/(F19-K19),(H19-W19+K19)/(F19-K19))</f>
        <v>-7.5949999999999998</v>
      </c>
      <c r="AR19" s="892">
        <f>IF(ISNUMBER((Datos!P19-Datos!Q19)/(Datos!R19-Datos!P19+Datos!Q19)),(Datos!P19-Datos!Q19)/(Datos!R19-Datos!P19+Datos!Q19)," - ")</f>
        <v>0.1541095890410959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115.47005383792515</v>
      </c>
      <c r="G21" s="256">
        <f>IF(ISNUMBER(STDEV(G8:G18)),STDEV(G8:G18),"-")</f>
        <v>94.263991003988366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776.81613011059449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69.081594268420488</v>
      </c>
      <c r="AJ21" s="255">
        <f t="shared" si="18"/>
        <v>0</v>
      </c>
      <c r="AK21" s="257">
        <f t="shared" si="18"/>
        <v>0</v>
      </c>
      <c r="AL21" s="252">
        <f t="shared" si="18"/>
        <v>0.20378055398810418</v>
      </c>
      <c r="AM21" s="253">
        <f t="shared" si="18"/>
        <v>5.6179337942262748</v>
      </c>
      <c r="AN21" s="253">
        <f t="shared" si="18"/>
        <v>0.34319281944647156</v>
      </c>
      <c r="AO21" s="254">
        <f t="shared" si="18"/>
        <v>0.51607681424440532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AS7b1WGTEE0hzt29+VlnbTiZ3v4vmow2LJcHtryWB6wzwZ0SQvfsy3L66zRSqseOARaSsyk3PzvkUy8HJjVbw==" saltValue="MDHyqLtgqRnoWJOJ29oX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ORGIVA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0.66666666666666663</v>
      </c>
      <c r="F10" s="351">
        <f>IF(ISNUMBER((Datos!K10-Datos!U10)/Datos!U10),(Datos!K10-Datos!U10)/Datos!U10," - ")</f>
        <v>-0.7142857142857143</v>
      </c>
      <c r="G10" s="352" t="str">
        <f>IF(ISNUMBER((Datos!L10-Datos!V10)/Datos!V10),(Datos!L10-Datos!V10)/Datos!V10," - ")</f>
        <v xml:space="preserve"> - </v>
      </c>
      <c r="H10" s="233">
        <f>IF(ISNUMBER((Datos!M10-Datos!W10)/Datos!W10),(Datos!M10-Datos!W10)/Datos!W10," - ")</f>
        <v>-0.33333333333333331</v>
      </c>
      <c r="I10" s="353" t="str">
        <f>IF(ISNUMBER((Tasas!C10-Datos!BE10)/Datos!BE10),(Tasas!C10-Datos!BE10)/Datos!BE10," - ")</f>
        <v xml:space="preserve"> - </v>
      </c>
      <c r="J10" s="352">
        <f>IF(ISNUMBER((Tasas!D10-Datos!BF10)/Datos!BF10),(Tasas!D10-Datos!BF10)/Datos!BF10," - ")</f>
        <v>1.3333333333333333</v>
      </c>
      <c r="K10" s="354">
        <f>IF(ISNUMBER((Tasas!E10-Datos!BG10)/Datos!BG10),(Tasas!E10-Datos!BG10)/Datos!BG10," - ")</f>
        <v>1.5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-6.4516129032258063E-2</v>
      </c>
      <c r="I12" s="353">
        <f>IF(ISNUMBER((Tasas!C12-Datos!BE12)/Datos!BE12),(Tasas!C12-Datos!BE12)/Datos!BE12," - ")</f>
        <v>0.36037735849056596</v>
      </c>
      <c r="J12" s="352">
        <f>IF(ISNUMBER((Tasas!D12-Datos!BF12)/Datos!BF12),(Tasas!D12-Datos!BF12)/Datos!BF12," - ")</f>
        <v>-0.3310190369540873</v>
      </c>
      <c r="K12" s="354">
        <f>IF(ISNUMBER((Tasas!E12-Datos!BG12)/Datos!BG12),(Tasas!E12-Datos!BG12)/Datos!BG12," - ")</f>
        <v>0.12363636363636356</v>
      </c>
      <c r="M12" t="e">
        <f>IF(Monitorios="SI",Datos!CE12,0)</f>
        <v>#REF!</v>
      </c>
      <c r="N12" t="e">
        <f>IF(Monitorios="SI",Datos!CF12,0)</f>
        <v>#REF!</v>
      </c>
      <c r="O12" t="e">
        <f>IF(Monitorios="SI",Datos!CG12,0)</f>
        <v>#REF!</v>
      </c>
      <c r="P12" t="e">
        <f>IF(Monitorios="SI",Datos!CH12,0)</f>
        <v>#REF!</v>
      </c>
      <c r="Q12">
        <f>IF(J_V="SI",0,Datos!AG12)</f>
        <v>20</v>
      </c>
      <c r="R12">
        <f>IF(J_V="SI",0,Datos!AH12)</f>
        <v>80</v>
      </c>
      <c r="S12">
        <f>IF(J_V="SI",0,Datos!AI12)</f>
        <v>90</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-6.9620253164556958E-2</v>
      </c>
      <c r="I13" s="360">
        <f>IF(ISNUMBER((Tasas!C13-Datos!BE13)/Datos!BE13),(Tasas!C13-Datos!BE13)/Datos!BE13," - ")</f>
        <v>0.38128381052909349</v>
      </c>
      <c r="J13" s="358">
        <f>IF(ISNUMBER((Tasas!D13-Datos!BF13)/Datos!BF13),(Tasas!D13-Datos!BF13)/Datos!BF13," - ")</f>
        <v>-0.32512340600575901</v>
      </c>
      <c r="K13" s="361">
        <f>IF(ISNUMBER((Tasas!E13-Datos!BG13)/Datos!BG13),(Tasas!E13-Datos!BG13)/Datos!BG13," - ")</f>
        <v>0.1297752141701185</v>
      </c>
      <c r="M13" t="e">
        <f>IF(Monitorios="SI",Datos!CE13,0)</f>
        <v>#REF!</v>
      </c>
      <c r="N13" t="e">
        <f>IF(Monitorios="SI",Datos!CF13,0)</f>
        <v>#REF!</v>
      </c>
      <c r="O13" t="e">
        <f>IF(Monitorios="SI",Datos!CG13,0)</f>
        <v>#REF!</v>
      </c>
      <c r="P13" t="e">
        <f>IF(Monitorios="SI",Datos!CH13,0)</f>
        <v>#REF!</v>
      </c>
      <c r="Q13">
        <f>IF(J_V="SI",0,Datos!AG13)</f>
        <v>20</v>
      </c>
      <c r="R13">
        <f>IF(J_V="SI",0,Datos!AH13)</f>
        <v>80</v>
      </c>
      <c r="S13">
        <f>IF(J_V="SI",0,Datos!AI13)</f>
        <v>90</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-0.12307692307692308</v>
      </c>
      <c r="E16" s="351">
        <f>IF(ISNUMBER(
   IF(D_I="SI",(Datos!J16-Datos!T16)/Datos!T16,(Datos!J16+Datos!AD16-(Datos!T16+Datos!AL16))/(Datos!T16+Datos!AL16))
     ),IF(D_I="SI",(Datos!J16-Datos!T16)/Datos!T16,(Datos!J16+Datos!AD16-(Datos!T16+Datos!AL16))/(Datos!T16+Datos!AL16))," - ")</f>
        <v>-9.7845078625509604E-2</v>
      </c>
      <c r="F16" s="351">
        <f>IF(ISNUMBER(
   IF(D_I="SI",(Datos!K16-Datos!U16)/Datos!U16,(Datos!K16+Datos!AE16-(Datos!U16+Datos!AM16))/(Datos!U16+Datos!AM16))
     ),IF(D_I="SI",(Datos!K16-Datos!U16)/Datos!U16,(Datos!K16+Datos!AE16-(Datos!U16+Datos!AM16))/(Datos!U16+Datos!AM16))," - ")</f>
        <v>-0.20660216277746157</v>
      </c>
      <c r="G16" s="352">
        <f>IF(ISNUMBER(
   IF(D_I="SI",(Datos!L16-Datos!V16)/Datos!V16,(Datos!L16+Datos!AF16-(Datos!V16+Datos!AN16))/(Datos!V16+Datos!AN16))
     ),IF(D_I="SI",(Datos!L16-Datos!V16)/Datos!V16,(Datos!L16+Datos!AF16-(Datos!V16+Datos!AN16))/(Datos!V16+Datos!AN16))," - ")</f>
        <v>1.0760233918128654</v>
      </c>
      <c r="H16" s="233">
        <f>IF(ISNUMBER((Datos!M16-Datos!W16)/Datos!W16),(Datos!M16-Datos!W16)/Datos!W16," - ")</f>
        <v>-0.13725490196078433</v>
      </c>
      <c r="I16" s="353">
        <f>IF(ISNUMBER((Tasas!C16-Datos!BE16)/Datos!BE16),(Tasas!C16-Datos!BE16)/Datos!BE16," - ")</f>
        <v>1.6166234572562441</v>
      </c>
      <c r="J16" s="352">
        <f>IF(ISNUMBER((Tasas!D16-Datos!BF16)/Datos!BF16),(Tasas!D16-Datos!BF16)/Datos!BF16," - ")</f>
        <v>8.7405406926041623E-2</v>
      </c>
      <c r="K16" s="354">
        <f>IF(ISNUMBER((Tasas!E16-Datos!BG16)/Datos!BG16),(Tasas!E16-Datos!BG16)/Datos!BG16," - ")</f>
        <v>0.13383418476074985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-0.53846153846153844</v>
      </c>
      <c r="E17" s="351">
        <f>IF(ISNUMBER(
   IF(D_I="SI",(Datos!J17-Datos!T17)/Datos!T17,(Datos!J17+Datos!AD17-(Datos!T17+Datos!AL17))/(Datos!T17+Datos!AL17))
     ),IF(D_I="SI",(Datos!J17-Datos!T17)/Datos!T17,(Datos!J17+Datos!AD17-(Datos!T17+Datos!AL17))/(Datos!T17+Datos!AL17))," - ")</f>
        <v>0.65</v>
      </c>
      <c r="F17" s="351">
        <f>IF(ISNUMBER(
   IF(D_I="SI",(Datos!K17-Datos!U17)/Datos!U17,(Datos!K17+Datos!AE17-(Datos!U17+Datos!AM17))/(Datos!U17+Datos!AM17))
     ),IF(D_I="SI",(Datos!K17-Datos!U17)/Datos!U17,(Datos!K17+Datos!AE17-(Datos!U17+Datos!AM17))/(Datos!U17+Datos!AM17))," - ")</f>
        <v>0.41379310344827586</v>
      </c>
      <c r="G17" s="352">
        <f>IF(ISNUMBER(
   IF(D_I="SI",(Datos!L17-Datos!V17)/Datos!V17,(Datos!L17+Datos!AF17-(Datos!V17+Datos!AN17))/(Datos!V17+Datos!AN17))
     ),IF(D_I="SI",(Datos!L17-Datos!V17)/Datos!V17,(Datos!L17+Datos!AF17-(Datos!V17+Datos!AN17))/(Datos!V17+Datos!AN17))," - ")</f>
        <v>1.5</v>
      </c>
      <c r="H17" s="233">
        <f>IF(ISNUMBER((Datos!M17-Datos!W17)/Datos!W17),(Datos!M17-Datos!W17)/Datos!W17," - ")</f>
        <v>1</v>
      </c>
      <c r="I17" s="353">
        <f>IF(ISNUMBER((Tasas!C17-Datos!BE17)/Datos!BE17),(Tasas!C17-Datos!BE17)/Datos!BE17," - ")</f>
        <v>0.76829268292682928</v>
      </c>
      <c r="J17" s="352">
        <f>IF(ISNUMBER((Tasas!D17-Datos!BF17)/Datos!BF17),(Tasas!D17-Datos!BF17)/Datos!BF17," - ")</f>
        <v>0.41463414634146328</v>
      </c>
      <c r="K17" s="354">
        <f>IF(ISNUMBER((Tasas!E17-Datos!BG17)/Datos!BG17),(Tasas!E17-Datos!BG17)/Datos!BG17," - ")</f>
        <v>4.9567269866247231E-2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-0.14903846153846154</v>
      </c>
      <c r="E18" s="357">
        <f>IF(ISNUMBER(
   IF(D_I="SI",(Datos!J18-Datos!T18)/Datos!T18,(Datos!J18+Datos!AD18-(Datos!T18+Datos!AL18))/(Datos!T18+Datos!AL18))
     ),IF(D_I="SI",(Datos!J18-Datos!T18)/Datos!T18,(Datos!J18+Datos!AD18-(Datos!T18+Datos!AL18))/(Datos!T18+Datos!AL18))," - ")</f>
        <v>-6.4552031163049528E-2</v>
      </c>
      <c r="F18" s="357">
        <f>IF(ISNUMBER(
   IF(D_I="SI",(Datos!K18-Datos!U18)/Datos!U18,(Datos!K18+Datos!AE18-(Datos!U18+Datos!AM18))/(Datos!U18+Datos!AM18))
     ),IF(D_I="SI",(Datos!K18-Datos!U18)/Datos!U18,(Datos!K18+Datos!AE18-(Datos!U18+Datos!AM18))/(Datos!U18+Datos!AM18))," - ")</f>
        <v>-0.17733188720173534</v>
      </c>
      <c r="G18" s="358">
        <f>IF(ISNUMBER(
   IF(D_I="SI",(Datos!L18-Datos!V18)/Datos!V18,(Datos!L18+Datos!AF18-(Datos!V18+Datos!AN18))/(Datos!V18+Datos!AN18))
     ),IF(D_I="SI",(Datos!L18-Datos!V18)/Datos!V18,(Datos!L18+Datos!AF18-(Datos!V18+Datos!AN18))/(Datos!V18+Datos!AN18))," - ")</f>
        <v>1.0903954802259888</v>
      </c>
      <c r="H18" s="359">
        <f>IF(ISNUMBER((Datos!M18-Datos!W18)/Datos!W18),(Datos!M18-Datos!W18)/Datos!W18," - ")</f>
        <v>-6.097560975609756E-2</v>
      </c>
      <c r="I18" s="360">
        <f>IF(ISNUMBER((Tasas!C18-Datos!BE18)/Datos!BE18),(Tasas!C18-Datos!BE18)/Datos!BE18," - ")</f>
        <v>1.5409949014744382</v>
      </c>
      <c r="J18" s="358">
        <f>IF(ISNUMBER((Tasas!D18-Datos!BF18)/Datos!BF18),(Tasas!D18-Datos!BF18)/Datos!BF18," - ")</f>
        <v>0.14143768992073572</v>
      </c>
      <c r="K18" s="361">
        <f>IF(ISNUMBER((Tasas!E18-Datos!BG18)/Datos!BG18),(Tasas!E18-Datos!BG18)/Datos!BG18," - ")</f>
        <v>0.12643638103160035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5.0955414012738856E-2</v>
      </c>
      <c r="E19" s="366">
        <f>IF(ISNUMBER(
   IF(J_V="SI",(Datos!J19-Datos!T19)/Datos!T19,(Datos!J19+Datos!Z19-(Datos!T19+Datos!AH19))/(Datos!T19+Datos!AH19))
     ),IF(J_V="SI",(Datos!J19-Datos!T19)/Datos!T19,(Datos!J19+Datos!Z19-(Datos!T19+Datos!AH19))/(Datos!T19+Datos!AH19))," - ")</f>
        <v>-5.6138933764135701E-2</v>
      </c>
      <c r="F19" s="366">
        <f>IF(ISNUMBER(
   IF(J_V="SI",(Datos!K19-Datos!U19)/Datos!U19,(Datos!K19+Datos!AA19-(Datos!U19+Datos!AI19))/(Datos!U19+Datos!AI19))
     ),IF(J_V="SI",(Datos!K19-Datos!U19)/Datos!U19,(Datos!K19+Datos!AA19-(Datos!U19+Datos!AI19))/(Datos!U19+Datos!AI19))," - ")</f>
        <v>-0.15390846496557312</v>
      </c>
      <c r="G19" s="367">
        <f>IF(ISNUMBER(
   IF(J_V="SI",(Datos!L19-Datos!V19)/Datos!V19,(Datos!L19+Datos!AB19-(Datos!V19+Datos!AJ19))/(Datos!V19+Datos!AJ19))
     ),IF(J_V="SI",(Datos!L19-Datos!V19)/Datos!V19,(Datos!L19+Datos!AB19-(Datos!V19+Datos!AJ19))/(Datos!V19+Datos!AJ19))," - ")</f>
        <v>0.55959595959595965</v>
      </c>
      <c r="H19" s="368">
        <f>IF(ISNUMBER((Datos!M19-Datos!W19)/Datos!W19),(Datos!M19-Datos!W19)/Datos!W19," - ")</f>
        <v>-6.5217391304347824E-2</v>
      </c>
      <c r="I19" s="365">
        <f>IF(ISNUMBER((Tasas!C19-Datos!BE19)/Datos!BE19),(Tasas!C19-Datos!BE19)/Datos!BE19," - ")</f>
        <v>0.84329460231805864</v>
      </c>
      <c r="J19" s="366">
        <f>IF(ISNUMBER((Tasas!D19-Datos!BF19)/Datos!BF19),(Tasas!D19-Datos!BF19)/Datos!BF19," - ")</f>
        <v>-0.11504111800975975</v>
      </c>
      <c r="K19" s="367">
        <f>IF(ISNUMBER((Tasas!E19-Datos!BG19)/Datos!BG19),(Tasas!E19-Datos!BG19)/Datos!BG19," - ")</f>
        <v>0.13578404371598898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0.41140167793351162</v>
      </c>
      <c r="E21" s="281">
        <f t="shared" si="1"/>
        <v>0.42723940053130877</v>
      </c>
      <c r="F21" s="281">
        <f t="shared" si="1"/>
        <v>0.46132053298753495</v>
      </c>
      <c r="G21" s="282">
        <f t="shared" si="1"/>
        <v>0.24074141861982642</v>
      </c>
      <c r="H21" s="288">
        <f t="shared" si="1"/>
        <v>0.4741416029881213</v>
      </c>
      <c r="I21" s="280">
        <f t="shared" si="1"/>
        <v>0.61163989648062478</v>
      </c>
      <c r="J21" s="281">
        <f t="shared" si="1"/>
        <v>0.61675414180552379</v>
      </c>
      <c r="K21" s="282">
        <f t="shared" si="1"/>
        <v>0.56727110414093773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Y1KcgQxnmPVtobNLOhjAai+zi6bENppE4Lm22X2CZswAJTHZk0815cO+ij1OMEVthaRdC0BMd9YQRwVAaIMrQ==" saltValue="068KhLUcXfzLBYZHaIjd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